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4">
    <font>
      <name val="Calibri"/>
      <family val="2"/>
      <color theme="1"/>
      <sz val="11"/>
      <scheme val="minor"/>
    </font>
    <font>
      <name val="Calibri"/>
      <color rgb="00244B3C"/>
      <sz val="11"/>
    </font>
    <font>
      <name val="Calibri"/>
      <color rgb="001665A1"/>
      <sz val="11"/>
    </font>
    <font>
      <name val="Calibri"/>
      <b val="1"/>
      <color rgb="00FFFFFF"/>
      <sz val="14"/>
    </font>
  </fonts>
  <fills count="3">
    <fill>
      <patternFill/>
    </fill>
    <fill>
      <patternFill patternType="gray125"/>
    </fill>
    <fill>
      <patternFill patternType="solid">
        <fgColor rgb="00244B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3" fillId="2" borderId="0" pivotButton="0" quotePrefix="0" xfId="0"/>
    <xf numFmtId="0" fontId="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10" fontId="2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Plan de amortización</t>
        </is>
      </c>
      <c r="B1" s="1" t="n"/>
      <c r="C1" s="1" t="n"/>
      <c r="D1" s="1" t="n"/>
      <c r="E1" s="1" t="n"/>
      <c r="F1" s="1" t="n"/>
    </row>
    <row r="2" ht="55" customHeight="1">
      <c r="A2" s="2" t="inlineStr">
        <is>
          <t>Celdas azules: entradas. Modelo orientativo; verificar con el asesor. Importes en EUR. Tipo nominal anual fijo, cuotas mensuales vencidas; sin gastos.</t>
        </is>
      </c>
    </row>
    <row r="3">
      <c r="A3" s="3" t="inlineStr">
        <is>
          <t>Capital</t>
        </is>
      </c>
      <c r="B3" s="4" t="n">
        <v>100000</v>
      </c>
      <c r="C3" s="3" t="n"/>
      <c r="D3" s="3" t="n"/>
      <c r="E3" s="3" t="n"/>
      <c r="F3" s="3" t="n"/>
    </row>
    <row r="4">
      <c r="A4" s="3" t="inlineStr">
        <is>
          <t>Tipo anual</t>
        </is>
      </c>
      <c r="B4" s="5" t="n">
        <v>0.05</v>
      </c>
      <c r="C4" s="3" t="n"/>
      <c r="D4" s="3" t="n"/>
      <c r="E4" s="3" t="n"/>
      <c r="F4" s="3" t="n"/>
    </row>
    <row r="5">
      <c r="A5" s="3" t="inlineStr">
        <is>
          <t>Plazo meses</t>
        </is>
      </c>
      <c r="B5" s="4" t="n">
        <v>60</v>
      </c>
      <c r="C5" s="3" t="n"/>
      <c r="D5" s="3" t="n"/>
      <c r="E5" s="3" t="n"/>
      <c r="F5" s="3" t="n"/>
    </row>
    <row r="6">
      <c r="A6" s="3" t="inlineStr">
        <is>
          <t>Cuota mensual</t>
        </is>
      </c>
      <c r="B6" s="6">
        <f>IF(B4=0,B3/B5,-PMT(B4/12,B5,B3))</f>
        <v/>
      </c>
      <c r="C6" s="3" t="n"/>
      <c r="D6" s="3" t="n"/>
      <c r="E6" s="3" t="n"/>
      <c r="F6" s="3" t="n"/>
    </row>
    <row r="7">
      <c r="A7" s="3" t="n"/>
      <c r="B7" s="3" t="n"/>
      <c r="C7" s="3" t="n"/>
      <c r="D7" s="3" t="n"/>
      <c r="E7" s="3" t="n"/>
      <c r="F7" s="3" t="n"/>
    </row>
    <row r="8">
      <c r="A8" s="3" t="inlineStr">
        <is>
          <t>Mes</t>
        </is>
      </c>
      <c r="B8" s="3" t="inlineStr">
        <is>
          <t>Deuda inicial</t>
        </is>
      </c>
      <c r="C8" s="3" t="inlineStr">
        <is>
          <t>Intereses</t>
        </is>
      </c>
      <c r="D8" s="3" t="inlineStr">
        <is>
          <t>Capital amortizado</t>
        </is>
      </c>
      <c r="E8" s="3" t="inlineStr">
        <is>
          <t>Deuda final</t>
        </is>
      </c>
      <c r="F8" s="3" t="inlineStr">
        <is>
          <t>Cuota mensual</t>
        </is>
      </c>
    </row>
    <row r="9">
      <c r="A9" s="6">
        <f>IF(1&lt;=$B$5,1,"")</f>
        <v/>
      </c>
      <c r="B9" s="6">
        <f>IF(A9="","",$B$3)</f>
        <v/>
      </c>
      <c r="C9" s="6">
        <f>IF(A9="","",B9*$B$4/12)</f>
        <v/>
      </c>
      <c r="D9" s="6">
        <f>IF(A9="","",MIN(B9,$B$6-C9))</f>
        <v/>
      </c>
      <c r="E9" s="6">
        <f>IF(A9="","",MAX(0,B9-D9))</f>
        <v/>
      </c>
      <c r="F9" s="6">
        <f>IF(A9="","",C9+D9)</f>
        <v/>
      </c>
    </row>
    <row r="10">
      <c r="A10" s="6">
        <f>IF(2&lt;=$B$5,2,"")</f>
        <v/>
      </c>
      <c r="B10" s="6">
        <f>IF(A10="","",E9)</f>
        <v/>
      </c>
      <c r="C10" s="6">
        <f>IF(A10="","",B10*$B$4/12)</f>
        <v/>
      </c>
      <c r="D10" s="6">
        <f>IF(A10="","",MIN(B10,$B$6-C10))</f>
        <v/>
      </c>
      <c r="E10" s="6">
        <f>IF(A10="","",MAX(0,B10-D10))</f>
        <v/>
      </c>
      <c r="F10" s="6">
        <f>IF(A10="","",C10+D10)</f>
        <v/>
      </c>
    </row>
    <row r="11">
      <c r="A11" s="6">
        <f>IF(3&lt;=$B$5,3,"")</f>
        <v/>
      </c>
      <c r="B11" s="6">
        <f>IF(A11="","",E10)</f>
        <v/>
      </c>
      <c r="C11" s="6">
        <f>IF(A11="","",B11*$B$4/12)</f>
        <v/>
      </c>
      <c r="D11" s="6">
        <f>IF(A11="","",MIN(B11,$B$6-C11))</f>
        <v/>
      </c>
      <c r="E11" s="6">
        <f>IF(A11="","",MAX(0,B11-D11))</f>
        <v/>
      </c>
      <c r="F11" s="6">
        <f>IF(A11="","",C11+D11)</f>
        <v/>
      </c>
    </row>
    <row r="12">
      <c r="A12" s="6">
        <f>IF(4&lt;=$B$5,4,"")</f>
        <v/>
      </c>
      <c r="B12" s="6">
        <f>IF(A12="","",E11)</f>
        <v/>
      </c>
      <c r="C12" s="6">
        <f>IF(A12="","",B12*$B$4/12)</f>
        <v/>
      </c>
      <c r="D12" s="6">
        <f>IF(A12="","",MIN(B12,$B$6-C12))</f>
        <v/>
      </c>
      <c r="E12" s="6">
        <f>IF(A12="","",MAX(0,B12-D12))</f>
        <v/>
      </c>
      <c r="F12" s="6">
        <f>IF(A12="","",C12+D12)</f>
        <v/>
      </c>
    </row>
    <row r="13">
      <c r="A13" s="6">
        <f>IF(5&lt;=$B$5,5,"")</f>
        <v/>
      </c>
      <c r="B13" s="6">
        <f>IF(A13="","",E12)</f>
        <v/>
      </c>
      <c r="C13" s="6">
        <f>IF(A13="","",B13*$B$4/12)</f>
        <v/>
      </c>
      <c r="D13" s="6">
        <f>IF(A13="","",MIN(B13,$B$6-C13))</f>
        <v/>
      </c>
      <c r="E13" s="6">
        <f>IF(A13="","",MAX(0,B13-D13))</f>
        <v/>
      </c>
      <c r="F13" s="6">
        <f>IF(A13="","",C13+D13)</f>
        <v/>
      </c>
    </row>
    <row r="14">
      <c r="A14" s="6">
        <f>IF(6&lt;=$B$5,6,"")</f>
        <v/>
      </c>
      <c r="B14" s="6">
        <f>IF(A14="","",E13)</f>
        <v/>
      </c>
      <c r="C14" s="6">
        <f>IF(A14="","",B14*$B$4/12)</f>
        <v/>
      </c>
      <c r="D14" s="6">
        <f>IF(A14="","",MIN(B14,$B$6-C14))</f>
        <v/>
      </c>
      <c r="E14" s="6">
        <f>IF(A14="","",MAX(0,B14-D14))</f>
        <v/>
      </c>
      <c r="F14" s="6">
        <f>IF(A14="","",C14+D14)</f>
        <v/>
      </c>
    </row>
    <row r="15">
      <c r="A15" s="6">
        <f>IF(7&lt;=$B$5,7,"")</f>
        <v/>
      </c>
      <c r="B15" s="6">
        <f>IF(A15="","",E14)</f>
        <v/>
      </c>
      <c r="C15" s="6">
        <f>IF(A15="","",B15*$B$4/12)</f>
        <v/>
      </c>
      <c r="D15" s="6">
        <f>IF(A15="","",MIN(B15,$B$6-C15))</f>
        <v/>
      </c>
      <c r="E15" s="6">
        <f>IF(A15="","",MAX(0,B15-D15))</f>
        <v/>
      </c>
      <c r="F15" s="6">
        <f>IF(A15="","",C15+D15)</f>
        <v/>
      </c>
    </row>
    <row r="16">
      <c r="A16" s="6">
        <f>IF(8&lt;=$B$5,8,"")</f>
        <v/>
      </c>
      <c r="B16" s="6">
        <f>IF(A16="","",E15)</f>
        <v/>
      </c>
      <c r="C16" s="6">
        <f>IF(A16="","",B16*$B$4/12)</f>
        <v/>
      </c>
      <c r="D16" s="6">
        <f>IF(A16="","",MIN(B16,$B$6-C16))</f>
        <v/>
      </c>
      <c r="E16" s="6">
        <f>IF(A16="","",MAX(0,B16-D16))</f>
        <v/>
      </c>
      <c r="F16" s="6">
        <f>IF(A16="","",C16+D16)</f>
        <v/>
      </c>
    </row>
    <row r="17">
      <c r="A17" s="6">
        <f>IF(9&lt;=$B$5,9,"")</f>
        <v/>
      </c>
      <c r="B17" s="6">
        <f>IF(A17="","",E16)</f>
        <v/>
      </c>
      <c r="C17" s="6">
        <f>IF(A17="","",B17*$B$4/12)</f>
        <v/>
      </c>
      <c r="D17" s="6">
        <f>IF(A17="","",MIN(B17,$B$6-C17))</f>
        <v/>
      </c>
      <c r="E17" s="6">
        <f>IF(A17="","",MAX(0,B17-D17))</f>
        <v/>
      </c>
      <c r="F17" s="6">
        <f>IF(A17="","",C17+D17)</f>
        <v/>
      </c>
    </row>
    <row r="18">
      <c r="A18" s="6">
        <f>IF(10&lt;=$B$5,10,"")</f>
        <v/>
      </c>
      <c r="B18" s="6">
        <f>IF(A18="","",E17)</f>
        <v/>
      </c>
      <c r="C18" s="6">
        <f>IF(A18="","",B18*$B$4/12)</f>
        <v/>
      </c>
      <c r="D18" s="6">
        <f>IF(A18="","",MIN(B18,$B$6-C18))</f>
        <v/>
      </c>
      <c r="E18" s="6">
        <f>IF(A18="","",MAX(0,B18-D18))</f>
        <v/>
      </c>
      <c r="F18" s="6">
        <f>IF(A18="","",C18+D18)</f>
        <v/>
      </c>
    </row>
    <row r="19">
      <c r="A19" s="6">
        <f>IF(11&lt;=$B$5,11,"")</f>
        <v/>
      </c>
      <c r="B19" s="6">
        <f>IF(A19="","",E18)</f>
        <v/>
      </c>
      <c r="C19" s="6">
        <f>IF(A19="","",B19*$B$4/12)</f>
        <v/>
      </c>
      <c r="D19" s="6">
        <f>IF(A19="","",MIN(B19,$B$6-C19))</f>
        <v/>
      </c>
      <c r="E19" s="6">
        <f>IF(A19="","",MAX(0,B19-D19))</f>
        <v/>
      </c>
      <c r="F19" s="6">
        <f>IF(A19="","",C19+D19)</f>
        <v/>
      </c>
    </row>
    <row r="20">
      <c r="A20" s="6">
        <f>IF(12&lt;=$B$5,12,"")</f>
        <v/>
      </c>
      <c r="B20" s="6">
        <f>IF(A20="","",E19)</f>
        <v/>
      </c>
      <c r="C20" s="6">
        <f>IF(A20="","",B20*$B$4/12)</f>
        <v/>
      </c>
      <c r="D20" s="6">
        <f>IF(A20="","",MIN(B20,$B$6-C20))</f>
        <v/>
      </c>
      <c r="E20" s="6">
        <f>IF(A20="","",MAX(0,B20-D20))</f>
        <v/>
      </c>
      <c r="F20" s="6">
        <f>IF(A20="","",C20+D20)</f>
        <v/>
      </c>
    </row>
    <row r="21">
      <c r="A21" s="6">
        <f>IF(13&lt;=$B$5,13,"")</f>
        <v/>
      </c>
      <c r="B21" s="6">
        <f>IF(A21="","",E20)</f>
        <v/>
      </c>
      <c r="C21" s="6">
        <f>IF(A21="","",B21*$B$4/12)</f>
        <v/>
      </c>
      <c r="D21" s="6">
        <f>IF(A21="","",MIN(B21,$B$6-C21))</f>
        <v/>
      </c>
      <c r="E21" s="6">
        <f>IF(A21="","",MAX(0,B21-D21))</f>
        <v/>
      </c>
      <c r="F21" s="6">
        <f>IF(A21="","",C21+D21)</f>
        <v/>
      </c>
    </row>
    <row r="22">
      <c r="A22" s="6">
        <f>IF(14&lt;=$B$5,14,"")</f>
        <v/>
      </c>
      <c r="B22" s="6">
        <f>IF(A22="","",E21)</f>
        <v/>
      </c>
      <c r="C22" s="6">
        <f>IF(A22="","",B22*$B$4/12)</f>
        <v/>
      </c>
      <c r="D22" s="6">
        <f>IF(A22="","",MIN(B22,$B$6-C22))</f>
        <v/>
      </c>
      <c r="E22" s="6">
        <f>IF(A22="","",MAX(0,B22-D22))</f>
        <v/>
      </c>
      <c r="F22" s="6">
        <f>IF(A22="","",C22+D22)</f>
        <v/>
      </c>
    </row>
    <row r="23">
      <c r="A23" s="6">
        <f>IF(15&lt;=$B$5,15,"")</f>
        <v/>
      </c>
      <c r="B23" s="6">
        <f>IF(A23="","",E22)</f>
        <v/>
      </c>
      <c r="C23" s="6">
        <f>IF(A23="","",B23*$B$4/12)</f>
        <v/>
      </c>
      <c r="D23" s="6">
        <f>IF(A23="","",MIN(B23,$B$6-C23))</f>
        <v/>
      </c>
      <c r="E23" s="6">
        <f>IF(A23="","",MAX(0,B23-D23))</f>
        <v/>
      </c>
      <c r="F23" s="6">
        <f>IF(A23="","",C23+D23)</f>
        <v/>
      </c>
    </row>
    <row r="24">
      <c r="A24" s="6">
        <f>IF(16&lt;=$B$5,16,"")</f>
        <v/>
      </c>
      <c r="B24" s="6">
        <f>IF(A24="","",E23)</f>
        <v/>
      </c>
      <c r="C24" s="6">
        <f>IF(A24="","",B24*$B$4/12)</f>
        <v/>
      </c>
      <c r="D24" s="6">
        <f>IF(A24="","",MIN(B24,$B$6-C24))</f>
        <v/>
      </c>
      <c r="E24" s="6">
        <f>IF(A24="","",MAX(0,B24-D24))</f>
        <v/>
      </c>
      <c r="F24" s="6">
        <f>IF(A24="","",C24+D24)</f>
        <v/>
      </c>
    </row>
    <row r="25">
      <c r="A25" s="6">
        <f>IF(17&lt;=$B$5,17,"")</f>
        <v/>
      </c>
      <c r="B25" s="6">
        <f>IF(A25="","",E24)</f>
        <v/>
      </c>
      <c r="C25" s="6">
        <f>IF(A25="","",B25*$B$4/12)</f>
        <v/>
      </c>
      <c r="D25" s="6">
        <f>IF(A25="","",MIN(B25,$B$6-C25))</f>
        <v/>
      </c>
      <c r="E25" s="6">
        <f>IF(A25="","",MAX(0,B25-D25))</f>
        <v/>
      </c>
      <c r="F25" s="6">
        <f>IF(A25="","",C25+D25)</f>
        <v/>
      </c>
    </row>
    <row r="26">
      <c r="A26" s="6">
        <f>IF(18&lt;=$B$5,18,"")</f>
        <v/>
      </c>
      <c r="B26" s="6">
        <f>IF(A26="","",E25)</f>
        <v/>
      </c>
      <c r="C26" s="6">
        <f>IF(A26="","",B26*$B$4/12)</f>
        <v/>
      </c>
      <c r="D26" s="6">
        <f>IF(A26="","",MIN(B26,$B$6-C26))</f>
        <v/>
      </c>
      <c r="E26" s="6">
        <f>IF(A26="","",MAX(0,B26-D26))</f>
        <v/>
      </c>
      <c r="F26" s="6">
        <f>IF(A26="","",C26+D26)</f>
        <v/>
      </c>
    </row>
    <row r="27">
      <c r="A27" s="6">
        <f>IF(19&lt;=$B$5,19,"")</f>
        <v/>
      </c>
      <c r="B27" s="6">
        <f>IF(A27="","",E26)</f>
        <v/>
      </c>
      <c r="C27" s="6">
        <f>IF(A27="","",B27*$B$4/12)</f>
        <v/>
      </c>
      <c r="D27" s="6">
        <f>IF(A27="","",MIN(B27,$B$6-C27))</f>
        <v/>
      </c>
      <c r="E27" s="6">
        <f>IF(A27="","",MAX(0,B27-D27))</f>
        <v/>
      </c>
      <c r="F27" s="6">
        <f>IF(A27="","",C27+D27)</f>
        <v/>
      </c>
    </row>
    <row r="28">
      <c r="A28" s="6">
        <f>IF(20&lt;=$B$5,20,"")</f>
        <v/>
      </c>
      <c r="B28" s="6">
        <f>IF(A28="","",E27)</f>
        <v/>
      </c>
      <c r="C28" s="6">
        <f>IF(A28="","",B28*$B$4/12)</f>
        <v/>
      </c>
      <c r="D28" s="6">
        <f>IF(A28="","",MIN(B28,$B$6-C28))</f>
        <v/>
      </c>
      <c r="E28" s="6">
        <f>IF(A28="","",MAX(0,B28-D28))</f>
        <v/>
      </c>
      <c r="F28" s="6">
        <f>IF(A28="","",C28+D28)</f>
        <v/>
      </c>
    </row>
    <row r="29">
      <c r="A29" s="6">
        <f>IF(21&lt;=$B$5,21,"")</f>
        <v/>
      </c>
      <c r="B29" s="6">
        <f>IF(A29="","",E28)</f>
        <v/>
      </c>
      <c r="C29" s="6">
        <f>IF(A29="","",B29*$B$4/12)</f>
        <v/>
      </c>
      <c r="D29" s="6">
        <f>IF(A29="","",MIN(B29,$B$6-C29))</f>
        <v/>
      </c>
      <c r="E29" s="6">
        <f>IF(A29="","",MAX(0,B29-D29))</f>
        <v/>
      </c>
      <c r="F29" s="6">
        <f>IF(A29="","",C29+D29)</f>
        <v/>
      </c>
    </row>
    <row r="30">
      <c r="A30" s="6">
        <f>IF(22&lt;=$B$5,22,"")</f>
        <v/>
      </c>
      <c r="B30" s="6">
        <f>IF(A30="","",E29)</f>
        <v/>
      </c>
      <c r="C30" s="6">
        <f>IF(A30="","",B30*$B$4/12)</f>
        <v/>
      </c>
      <c r="D30" s="6">
        <f>IF(A30="","",MIN(B30,$B$6-C30))</f>
        <v/>
      </c>
      <c r="E30" s="6">
        <f>IF(A30="","",MAX(0,B30-D30))</f>
        <v/>
      </c>
      <c r="F30" s="6">
        <f>IF(A30="","",C30+D30)</f>
        <v/>
      </c>
    </row>
    <row r="31">
      <c r="A31" s="6">
        <f>IF(23&lt;=$B$5,23,"")</f>
        <v/>
      </c>
      <c r="B31" s="6">
        <f>IF(A31="","",E30)</f>
        <v/>
      </c>
      <c r="C31" s="6">
        <f>IF(A31="","",B31*$B$4/12)</f>
        <v/>
      </c>
      <c r="D31" s="6">
        <f>IF(A31="","",MIN(B31,$B$6-C31))</f>
        <v/>
      </c>
      <c r="E31" s="6">
        <f>IF(A31="","",MAX(0,B31-D31))</f>
        <v/>
      </c>
      <c r="F31" s="6">
        <f>IF(A31="","",C31+D31)</f>
        <v/>
      </c>
    </row>
    <row r="32">
      <c r="A32" s="6">
        <f>IF(24&lt;=$B$5,24,"")</f>
        <v/>
      </c>
      <c r="B32" s="6">
        <f>IF(A32="","",E31)</f>
        <v/>
      </c>
      <c r="C32" s="6">
        <f>IF(A32="","",B32*$B$4/12)</f>
        <v/>
      </c>
      <c r="D32" s="6">
        <f>IF(A32="","",MIN(B32,$B$6-C32))</f>
        <v/>
      </c>
      <c r="E32" s="6">
        <f>IF(A32="","",MAX(0,B32-D32))</f>
        <v/>
      </c>
      <c r="F32" s="6">
        <f>IF(A32="","",C32+D32)</f>
        <v/>
      </c>
    </row>
    <row r="33">
      <c r="A33" s="6">
        <f>IF(25&lt;=$B$5,25,"")</f>
        <v/>
      </c>
      <c r="B33" s="6">
        <f>IF(A33="","",E32)</f>
        <v/>
      </c>
      <c r="C33" s="6">
        <f>IF(A33="","",B33*$B$4/12)</f>
        <v/>
      </c>
      <c r="D33" s="6">
        <f>IF(A33="","",MIN(B33,$B$6-C33))</f>
        <v/>
      </c>
      <c r="E33" s="6">
        <f>IF(A33="","",MAX(0,B33-D33))</f>
        <v/>
      </c>
      <c r="F33" s="6">
        <f>IF(A33="","",C33+D33)</f>
        <v/>
      </c>
    </row>
    <row r="34">
      <c r="A34" s="6">
        <f>IF(26&lt;=$B$5,26,"")</f>
        <v/>
      </c>
      <c r="B34" s="6">
        <f>IF(A34="","",E33)</f>
        <v/>
      </c>
      <c r="C34" s="6">
        <f>IF(A34="","",B34*$B$4/12)</f>
        <v/>
      </c>
      <c r="D34" s="6">
        <f>IF(A34="","",MIN(B34,$B$6-C34))</f>
        <v/>
      </c>
      <c r="E34" s="6">
        <f>IF(A34="","",MAX(0,B34-D34))</f>
        <v/>
      </c>
      <c r="F34" s="6">
        <f>IF(A34="","",C34+D34)</f>
        <v/>
      </c>
    </row>
    <row r="35">
      <c r="A35" s="6">
        <f>IF(27&lt;=$B$5,27,"")</f>
        <v/>
      </c>
      <c r="B35" s="6">
        <f>IF(A35="","",E34)</f>
        <v/>
      </c>
      <c r="C35" s="6">
        <f>IF(A35="","",B35*$B$4/12)</f>
        <v/>
      </c>
      <c r="D35" s="6">
        <f>IF(A35="","",MIN(B35,$B$6-C35))</f>
        <v/>
      </c>
      <c r="E35" s="6">
        <f>IF(A35="","",MAX(0,B35-D35))</f>
        <v/>
      </c>
      <c r="F35" s="6">
        <f>IF(A35="","",C35+D35)</f>
        <v/>
      </c>
    </row>
    <row r="36">
      <c r="A36" s="6">
        <f>IF(28&lt;=$B$5,28,"")</f>
        <v/>
      </c>
      <c r="B36" s="6">
        <f>IF(A36="","",E35)</f>
        <v/>
      </c>
      <c r="C36" s="6">
        <f>IF(A36="","",B36*$B$4/12)</f>
        <v/>
      </c>
      <c r="D36" s="6">
        <f>IF(A36="","",MIN(B36,$B$6-C36))</f>
        <v/>
      </c>
      <c r="E36" s="6">
        <f>IF(A36="","",MAX(0,B36-D36))</f>
        <v/>
      </c>
      <c r="F36" s="6">
        <f>IF(A36="","",C36+D36)</f>
        <v/>
      </c>
    </row>
    <row r="37">
      <c r="A37" s="6">
        <f>IF(29&lt;=$B$5,29,"")</f>
        <v/>
      </c>
      <c r="B37" s="6">
        <f>IF(A37="","",E36)</f>
        <v/>
      </c>
      <c r="C37" s="6">
        <f>IF(A37="","",B37*$B$4/12)</f>
        <v/>
      </c>
      <c r="D37" s="6">
        <f>IF(A37="","",MIN(B37,$B$6-C37))</f>
        <v/>
      </c>
      <c r="E37" s="6">
        <f>IF(A37="","",MAX(0,B37-D37))</f>
        <v/>
      </c>
      <c r="F37" s="6">
        <f>IF(A37="","",C37+D37)</f>
        <v/>
      </c>
    </row>
    <row r="38">
      <c r="A38" s="6">
        <f>IF(30&lt;=$B$5,30,"")</f>
        <v/>
      </c>
      <c r="B38" s="6">
        <f>IF(A38="","",E37)</f>
        <v/>
      </c>
      <c r="C38" s="6">
        <f>IF(A38="","",B38*$B$4/12)</f>
        <v/>
      </c>
      <c r="D38" s="6">
        <f>IF(A38="","",MIN(B38,$B$6-C38))</f>
        <v/>
      </c>
      <c r="E38" s="6">
        <f>IF(A38="","",MAX(0,B38-D38))</f>
        <v/>
      </c>
      <c r="F38" s="6">
        <f>IF(A38="","",C38+D38)</f>
        <v/>
      </c>
    </row>
    <row r="39">
      <c r="A39" s="6">
        <f>IF(31&lt;=$B$5,31,"")</f>
        <v/>
      </c>
      <c r="B39" s="6">
        <f>IF(A39="","",E38)</f>
        <v/>
      </c>
      <c r="C39" s="6">
        <f>IF(A39="","",B39*$B$4/12)</f>
        <v/>
      </c>
      <c r="D39" s="6">
        <f>IF(A39="","",MIN(B39,$B$6-C39))</f>
        <v/>
      </c>
      <c r="E39" s="6">
        <f>IF(A39="","",MAX(0,B39-D39))</f>
        <v/>
      </c>
      <c r="F39" s="6">
        <f>IF(A39="","",C39+D39)</f>
        <v/>
      </c>
    </row>
    <row r="40">
      <c r="A40" s="6">
        <f>IF(32&lt;=$B$5,32,"")</f>
        <v/>
      </c>
      <c r="B40" s="6">
        <f>IF(A40="","",E39)</f>
        <v/>
      </c>
      <c r="C40" s="6">
        <f>IF(A40="","",B40*$B$4/12)</f>
        <v/>
      </c>
      <c r="D40" s="6">
        <f>IF(A40="","",MIN(B40,$B$6-C40))</f>
        <v/>
      </c>
      <c r="E40" s="6">
        <f>IF(A40="","",MAX(0,B40-D40))</f>
        <v/>
      </c>
      <c r="F40" s="6">
        <f>IF(A40="","",C40+D40)</f>
        <v/>
      </c>
    </row>
    <row r="41">
      <c r="A41" s="6">
        <f>IF(33&lt;=$B$5,33,"")</f>
        <v/>
      </c>
      <c r="B41" s="6">
        <f>IF(A41="","",E40)</f>
        <v/>
      </c>
      <c r="C41" s="6">
        <f>IF(A41="","",B41*$B$4/12)</f>
        <v/>
      </c>
      <c r="D41" s="6">
        <f>IF(A41="","",MIN(B41,$B$6-C41))</f>
        <v/>
      </c>
      <c r="E41" s="6">
        <f>IF(A41="","",MAX(0,B41-D41))</f>
        <v/>
      </c>
      <c r="F41" s="6">
        <f>IF(A41="","",C41+D41)</f>
        <v/>
      </c>
    </row>
    <row r="42">
      <c r="A42" s="6">
        <f>IF(34&lt;=$B$5,34,"")</f>
        <v/>
      </c>
      <c r="B42" s="6">
        <f>IF(A42="","",E41)</f>
        <v/>
      </c>
      <c r="C42" s="6">
        <f>IF(A42="","",B42*$B$4/12)</f>
        <v/>
      </c>
      <c r="D42" s="6">
        <f>IF(A42="","",MIN(B42,$B$6-C42))</f>
        <v/>
      </c>
      <c r="E42" s="6">
        <f>IF(A42="","",MAX(0,B42-D42))</f>
        <v/>
      </c>
      <c r="F42" s="6">
        <f>IF(A42="","",C42+D42)</f>
        <v/>
      </c>
    </row>
    <row r="43">
      <c r="A43" s="6">
        <f>IF(35&lt;=$B$5,35,"")</f>
        <v/>
      </c>
      <c r="B43" s="6">
        <f>IF(A43="","",E42)</f>
        <v/>
      </c>
      <c r="C43" s="6">
        <f>IF(A43="","",B43*$B$4/12)</f>
        <v/>
      </c>
      <c r="D43" s="6">
        <f>IF(A43="","",MIN(B43,$B$6-C43))</f>
        <v/>
      </c>
      <c r="E43" s="6">
        <f>IF(A43="","",MAX(0,B43-D43))</f>
        <v/>
      </c>
      <c r="F43" s="6">
        <f>IF(A43="","",C43+D43)</f>
        <v/>
      </c>
    </row>
    <row r="44">
      <c r="A44" s="6">
        <f>IF(36&lt;=$B$5,36,"")</f>
        <v/>
      </c>
      <c r="B44" s="6">
        <f>IF(A44="","",E43)</f>
        <v/>
      </c>
      <c r="C44" s="6">
        <f>IF(A44="","",B44*$B$4/12)</f>
        <v/>
      </c>
      <c r="D44" s="6">
        <f>IF(A44="","",MIN(B44,$B$6-C44))</f>
        <v/>
      </c>
      <c r="E44" s="6">
        <f>IF(A44="","",MAX(0,B44-D44))</f>
        <v/>
      </c>
      <c r="F44" s="6">
        <f>IF(A44="","",C44+D44)</f>
        <v/>
      </c>
    </row>
    <row r="45">
      <c r="A45" s="6">
        <f>IF(37&lt;=$B$5,37,"")</f>
        <v/>
      </c>
      <c r="B45" s="6">
        <f>IF(A45="","",E44)</f>
        <v/>
      </c>
      <c r="C45" s="6">
        <f>IF(A45="","",B45*$B$4/12)</f>
        <v/>
      </c>
      <c r="D45" s="6">
        <f>IF(A45="","",MIN(B45,$B$6-C45))</f>
        <v/>
      </c>
      <c r="E45" s="6">
        <f>IF(A45="","",MAX(0,B45-D45))</f>
        <v/>
      </c>
      <c r="F45" s="6">
        <f>IF(A45="","",C45+D45)</f>
        <v/>
      </c>
    </row>
    <row r="46">
      <c r="A46" s="6">
        <f>IF(38&lt;=$B$5,38,"")</f>
        <v/>
      </c>
      <c r="B46" s="6">
        <f>IF(A46="","",E45)</f>
        <v/>
      </c>
      <c r="C46" s="6">
        <f>IF(A46="","",B46*$B$4/12)</f>
        <v/>
      </c>
      <c r="D46" s="6">
        <f>IF(A46="","",MIN(B46,$B$6-C46))</f>
        <v/>
      </c>
      <c r="E46" s="6">
        <f>IF(A46="","",MAX(0,B46-D46))</f>
        <v/>
      </c>
      <c r="F46" s="6">
        <f>IF(A46="","",C46+D46)</f>
        <v/>
      </c>
    </row>
    <row r="47">
      <c r="A47" s="6">
        <f>IF(39&lt;=$B$5,39,"")</f>
        <v/>
      </c>
      <c r="B47" s="6">
        <f>IF(A47="","",E46)</f>
        <v/>
      </c>
      <c r="C47" s="6">
        <f>IF(A47="","",B47*$B$4/12)</f>
        <v/>
      </c>
      <c r="D47" s="6">
        <f>IF(A47="","",MIN(B47,$B$6-C47))</f>
        <v/>
      </c>
      <c r="E47" s="6">
        <f>IF(A47="","",MAX(0,B47-D47))</f>
        <v/>
      </c>
      <c r="F47" s="6">
        <f>IF(A47="","",C47+D47)</f>
        <v/>
      </c>
    </row>
    <row r="48">
      <c r="A48" s="6">
        <f>IF(40&lt;=$B$5,40,"")</f>
        <v/>
      </c>
      <c r="B48" s="6">
        <f>IF(A48="","",E47)</f>
        <v/>
      </c>
      <c r="C48" s="6">
        <f>IF(A48="","",B48*$B$4/12)</f>
        <v/>
      </c>
      <c r="D48" s="6">
        <f>IF(A48="","",MIN(B48,$B$6-C48))</f>
        <v/>
      </c>
      <c r="E48" s="6">
        <f>IF(A48="","",MAX(0,B48-D48))</f>
        <v/>
      </c>
      <c r="F48" s="6">
        <f>IF(A48="","",C48+D48)</f>
        <v/>
      </c>
    </row>
    <row r="49">
      <c r="A49" s="6">
        <f>IF(41&lt;=$B$5,41,"")</f>
        <v/>
      </c>
      <c r="B49" s="6">
        <f>IF(A49="","",E48)</f>
        <v/>
      </c>
      <c r="C49" s="6">
        <f>IF(A49="","",B49*$B$4/12)</f>
        <v/>
      </c>
      <c r="D49" s="6">
        <f>IF(A49="","",MIN(B49,$B$6-C49))</f>
        <v/>
      </c>
      <c r="E49" s="6">
        <f>IF(A49="","",MAX(0,B49-D49))</f>
        <v/>
      </c>
      <c r="F49" s="6">
        <f>IF(A49="","",C49+D49)</f>
        <v/>
      </c>
    </row>
    <row r="50">
      <c r="A50" s="6">
        <f>IF(42&lt;=$B$5,42,"")</f>
        <v/>
      </c>
      <c r="B50" s="6">
        <f>IF(A50="","",E49)</f>
        <v/>
      </c>
      <c r="C50" s="6">
        <f>IF(A50="","",B50*$B$4/12)</f>
        <v/>
      </c>
      <c r="D50" s="6">
        <f>IF(A50="","",MIN(B50,$B$6-C50))</f>
        <v/>
      </c>
      <c r="E50" s="6">
        <f>IF(A50="","",MAX(0,B50-D50))</f>
        <v/>
      </c>
      <c r="F50" s="6">
        <f>IF(A50="","",C50+D50)</f>
        <v/>
      </c>
    </row>
    <row r="51">
      <c r="A51" s="6">
        <f>IF(43&lt;=$B$5,43,"")</f>
        <v/>
      </c>
      <c r="B51" s="6">
        <f>IF(A51="","",E50)</f>
        <v/>
      </c>
      <c r="C51" s="6">
        <f>IF(A51="","",B51*$B$4/12)</f>
        <v/>
      </c>
      <c r="D51" s="6">
        <f>IF(A51="","",MIN(B51,$B$6-C51))</f>
        <v/>
      </c>
      <c r="E51" s="6">
        <f>IF(A51="","",MAX(0,B51-D51))</f>
        <v/>
      </c>
      <c r="F51" s="6">
        <f>IF(A51="","",C51+D51)</f>
        <v/>
      </c>
    </row>
    <row r="52">
      <c r="A52" s="6">
        <f>IF(44&lt;=$B$5,44,"")</f>
        <v/>
      </c>
      <c r="B52" s="6">
        <f>IF(A52="","",E51)</f>
        <v/>
      </c>
      <c r="C52" s="6">
        <f>IF(A52="","",B52*$B$4/12)</f>
        <v/>
      </c>
      <c r="D52" s="6">
        <f>IF(A52="","",MIN(B52,$B$6-C52))</f>
        <v/>
      </c>
      <c r="E52" s="6">
        <f>IF(A52="","",MAX(0,B52-D52))</f>
        <v/>
      </c>
      <c r="F52" s="6">
        <f>IF(A52="","",C52+D52)</f>
        <v/>
      </c>
    </row>
    <row r="53">
      <c r="A53" s="6">
        <f>IF(45&lt;=$B$5,45,"")</f>
        <v/>
      </c>
      <c r="B53" s="6">
        <f>IF(A53="","",E52)</f>
        <v/>
      </c>
      <c r="C53" s="6">
        <f>IF(A53="","",B53*$B$4/12)</f>
        <v/>
      </c>
      <c r="D53" s="6">
        <f>IF(A53="","",MIN(B53,$B$6-C53))</f>
        <v/>
      </c>
      <c r="E53" s="6">
        <f>IF(A53="","",MAX(0,B53-D53))</f>
        <v/>
      </c>
      <c r="F53" s="6">
        <f>IF(A53="","",C53+D53)</f>
        <v/>
      </c>
    </row>
    <row r="54">
      <c r="A54" s="6">
        <f>IF(46&lt;=$B$5,46,"")</f>
        <v/>
      </c>
      <c r="B54" s="6">
        <f>IF(A54="","",E53)</f>
        <v/>
      </c>
      <c r="C54" s="6">
        <f>IF(A54="","",B54*$B$4/12)</f>
        <v/>
      </c>
      <c r="D54" s="6">
        <f>IF(A54="","",MIN(B54,$B$6-C54))</f>
        <v/>
      </c>
      <c r="E54" s="6">
        <f>IF(A54="","",MAX(0,B54-D54))</f>
        <v/>
      </c>
      <c r="F54" s="6">
        <f>IF(A54="","",C54+D54)</f>
        <v/>
      </c>
    </row>
    <row r="55">
      <c r="A55" s="6">
        <f>IF(47&lt;=$B$5,47,"")</f>
        <v/>
      </c>
      <c r="B55" s="6">
        <f>IF(A55="","",E54)</f>
        <v/>
      </c>
      <c r="C55" s="6">
        <f>IF(A55="","",B55*$B$4/12)</f>
        <v/>
      </c>
      <c r="D55" s="6">
        <f>IF(A55="","",MIN(B55,$B$6-C55))</f>
        <v/>
      </c>
      <c r="E55" s="6">
        <f>IF(A55="","",MAX(0,B55-D55))</f>
        <v/>
      </c>
      <c r="F55" s="6">
        <f>IF(A55="","",C55+D55)</f>
        <v/>
      </c>
    </row>
    <row r="56">
      <c r="A56" s="6">
        <f>IF(48&lt;=$B$5,48,"")</f>
        <v/>
      </c>
      <c r="B56" s="6">
        <f>IF(A56="","",E55)</f>
        <v/>
      </c>
      <c r="C56" s="6">
        <f>IF(A56="","",B56*$B$4/12)</f>
        <v/>
      </c>
      <c r="D56" s="6">
        <f>IF(A56="","",MIN(B56,$B$6-C56))</f>
        <v/>
      </c>
      <c r="E56" s="6">
        <f>IF(A56="","",MAX(0,B56-D56))</f>
        <v/>
      </c>
      <c r="F56" s="6">
        <f>IF(A56="","",C56+D56)</f>
        <v/>
      </c>
    </row>
    <row r="57">
      <c r="A57" s="6">
        <f>IF(49&lt;=$B$5,49,"")</f>
        <v/>
      </c>
      <c r="B57" s="6">
        <f>IF(A57="","",E56)</f>
        <v/>
      </c>
      <c r="C57" s="6">
        <f>IF(A57="","",B57*$B$4/12)</f>
        <v/>
      </c>
      <c r="D57" s="6">
        <f>IF(A57="","",MIN(B57,$B$6-C57))</f>
        <v/>
      </c>
      <c r="E57" s="6">
        <f>IF(A57="","",MAX(0,B57-D57))</f>
        <v/>
      </c>
      <c r="F57" s="6">
        <f>IF(A57="","",C57+D57)</f>
        <v/>
      </c>
    </row>
    <row r="58">
      <c r="A58" s="6">
        <f>IF(50&lt;=$B$5,50,"")</f>
        <v/>
      </c>
      <c r="B58" s="6">
        <f>IF(A58="","",E57)</f>
        <v/>
      </c>
      <c r="C58" s="6">
        <f>IF(A58="","",B58*$B$4/12)</f>
        <v/>
      </c>
      <c r="D58" s="6">
        <f>IF(A58="","",MIN(B58,$B$6-C58))</f>
        <v/>
      </c>
      <c r="E58" s="6">
        <f>IF(A58="","",MAX(0,B58-D58))</f>
        <v/>
      </c>
      <c r="F58" s="6">
        <f>IF(A58="","",C58+D58)</f>
        <v/>
      </c>
    </row>
    <row r="59">
      <c r="A59" s="6">
        <f>IF(51&lt;=$B$5,51,"")</f>
        <v/>
      </c>
      <c r="B59" s="6">
        <f>IF(A59="","",E58)</f>
        <v/>
      </c>
      <c r="C59" s="6">
        <f>IF(A59="","",B59*$B$4/12)</f>
        <v/>
      </c>
      <c r="D59" s="6">
        <f>IF(A59="","",MIN(B59,$B$6-C59))</f>
        <v/>
      </c>
      <c r="E59" s="6">
        <f>IF(A59="","",MAX(0,B59-D59))</f>
        <v/>
      </c>
      <c r="F59" s="6">
        <f>IF(A59="","",C59+D59)</f>
        <v/>
      </c>
    </row>
    <row r="60">
      <c r="A60" s="6">
        <f>IF(52&lt;=$B$5,52,"")</f>
        <v/>
      </c>
      <c r="B60" s="6">
        <f>IF(A60="","",E59)</f>
        <v/>
      </c>
      <c r="C60" s="6">
        <f>IF(A60="","",B60*$B$4/12)</f>
        <v/>
      </c>
      <c r="D60" s="6">
        <f>IF(A60="","",MIN(B60,$B$6-C60))</f>
        <v/>
      </c>
      <c r="E60" s="6">
        <f>IF(A60="","",MAX(0,B60-D60))</f>
        <v/>
      </c>
      <c r="F60" s="6">
        <f>IF(A60="","",C60+D60)</f>
        <v/>
      </c>
    </row>
    <row r="61">
      <c r="A61" s="6">
        <f>IF(53&lt;=$B$5,53,"")</f>
        <v/>
      </c>
      <c r="B61" s="6">
        <f>IF(A61="","",E60)</f>
        <v/>
      </c>
      <c r="C61" s="6">
        <f>IF(A61="","",B61*$B$4/12)</f>
        <v/>
      </c>
      <c r="D61" s="6">
        <f>IF(A61="","",MIN(B61,$B$6-C61))</f>
        <v/>
      </c>
      <c r="E61" s="6">
        <f>IF(A61="","",MAX(0,B61-D61))</f>
        <v/>
      </c>
      <c r="F61" s="6">
        <f>IF(A61="","",C61+D61)</f>
        <v/>
      </c>
    </row>
    <row r="62">
      <c r="A62" s="6">
        <f>IF(54&lt;=$B$5,54,"")</f>
        <v/>
      </c>
      <c r="B62" s="6">
        <f>IF(A62="","",E61)</f>
        <v/>
      </c>
      <c r="C62" s="6">
        <f>IF(A62="","",B62*$B$4/12)</f>
        <v/>
      </c>
      <c r="D62" s="6">
        <f>IF(A62="","",MIN(B62,$B$6-C62))</f>
        <v/>
      </c>
      <c r="E62" s="6">
        <f>IF(A62="","",MAX(0,B62-D62))</f>
        <v/>
      </c>
      <c r="F62" s="6">
        <f>IF(A62="","",C62+D62)</f>
        <v/>
      </c>
    </row>
    <row r="63">
      <c r="A63" s="6">
        <f>IF(55&lt;=$B$5,55,"")</f>
        <v/>
      </c>
      <c r="B63" s="6">
        <f>IF(A63="","",E62)</f>
        <v/>
      </c>
      <c r="C63" s="6">
        <f>IF(A63="","",B63*$B$4/12)</f>
        <v/>
      </c>
      <c r="D63" s="6">
        <f>IF(A63="","",MIN(B63,$B$6-C63))</f>
        <v/>
      </c>
      <c r="E63" s="6">
        <f>IF(A63="","",MAX(0,B63-D63))</f>
        <v/>
      </c>
      <c r="F63" s="6">
        <f>IF(A63="","",C63+D63)</f>
        <v/>
      </c>
    </row>
    <row r="64">
      <c r="A64" s="6">
        <f>IF(56&lt;=$B$5,56,"")</f>
        <v/>
      </c>
      <c r="B64" s="6">
        <f>IF(A64="","",E63)</f>
        <v/>
      </c>
      <c r="C64" s="6">
        <f>IF(A64="","",B64*$B$4/12)</f>
        <v/>
      </c>
      <c r="D64" s="6">
        <f>IF(A64="","",MIN(B64,$B$6-C64))</f>
        <v/>
      </c>
      <c r="E64" s="6">
        <f>IF(A64="","",MAX(0,B64-D64))</f>
        <v/>
      </c>
      <c r="F64" s="6">
        <f>IF(A64="","",C64+D64)</f>
        <v/>
      </c>
    </row>
    <row r="65">
      <c r="A65" s="6">
        <f>IF(57&lt;=$B$5,57,"")</f>
        <v/>
      </c>
      <c r="B65" s="6">
        <f>IF(A65="","",E64)</f>
        <v/>
      </c>
      <c r="C65" s="6">
        <f>IF(A65="","",B65*$B$4/12)</f>
        <v/>
      </c>
      <c r="D65" s="6">
        <f>IF(A65="","",MIN(B65,$B$6-C65))</f>
        <v/>
      </c>
      <c r="E65" s="6">
        <f>IF(A65="","",MAX(0,B65-D65))</f>
        <v/>
      </c>
      <c r="F65" s="6">
        <f>IF(A65="","",C65+D65)</f>
        <v/>
      </c>
    </row>
    <row r="66">
      <c r="A66" s="6">
        <f>IF(58&lt;=$B$5,58,"")</f>
        <v/>
      </c>
      <c r="B66" s="6">
        <f>IF(A66="","",E65)</f>
        <v/>
      </c>
      <c r="C66" s="6">
        <f>IF(A66="","",B66*$B$4/12)</f>
        <v/>
      </c>
      <c r="D66" s="6">
        <f>IF(A66="","",MIN(B66,$B$6-C66))</f>
        <v/>
      </c>
      <c r="E66" s="6">
        <f>IF(A66="","",MAX(0,B66-D66))</f>
        <v/>
      </c>
      <c r="F66" s="6">
        <f>IF(A66="","",C66+D66)</f>
        <v/>
      </c>
    </row>
    <row r="67">
      <c r="A67" s="6">
        <f>IF(59&lt;=$B$5,59,"")</f>
        <v/>
      </c>
      <c r="B67" s="6">
        <f>IF(A67="","",E66)</f>
        <v/>
      </c>
      <c r="C67" s="6">
        <f>IF(A67="","",B67*$B$4/12)</f>
        <v/>
      </c>
      <c r="D67" s="6">
        <f>IF(A67="","",MIN(B67,$B$6-C67))</f>
        <v/>
      </c>
      <c r="E67" s="6">
        <f>IF(A67="","",MAX(0,B67-D67))</f>
        <v/>
      </c>
      <c r="F67" s="6">
        <f>IF(A67="","",C67+D67)</f>
        <v/>
      </c>
    </row>
    <row r="68">
      <c r="A68" s="6">
        <f>IF(60&lt;=$B$5,60,"")</f>
        <v/>
      </c>
      <c r="B68" s="6">
        <f>IF(A68="","",E67)</f>
        <v/>
      </c>
      <c r="C68" s="6">
        <f>IF(A68="","",B68*$B$4/12)</f>
        <v/>
      </c>
      <c r="D68" s="6">
        <f>IF(A68="","",MIN(B68,$B$6-C68))</f>
        <v/>
      </c>
      <c r="E68" s="6">
        <f>IF(A68="","",MAX(0,B68-D68))</f>
        <v/>
      </c>
      <c r="F68" s="6">
        <f>IF(A68="","",C68+D68)</f>
        <v/>
      </c>
    </row>
    <row r="69">
      <c r="A69" s="6">
        <f>IF(61&lt;=$B$5,61,"")</f>
        <v/>
      </c>
      <c r="B69" s="6">
        <f>IF(A69="","",E68)</f>
        <v/>
      </c>
      <c r="C69" s="6">
        <f>IF(A69="","",B69*$B$4/12)</f>
        <v/>
      </c>
      <c r="D69" s="6">
        <f>IF(A69="","",MIN(B69,$B$6-C69))</f>
        <v/>
      </c>
      <c r="E69" s="6">
        <f>IF(A69="","",MAX(0,B69-D69))</f>
        <v/>
      </c>
      <c r="F69" s="6">
        <f>IF(A69="","",C69+D69)</f>
        <v/>
      </c>
    </row>
    <row r="70">
      <c r="A70" s="6">
        <f>IF(62&lt;=$B$5,62,"")</f>
        <v/>
      </c>
      <c r="B70" s="6">
        <f>IF(A70="","",E69)</f>
        <v/>
      </c>
      <c r="C70" s="6">
        <f>IF(A70="","",B70*$B$4/12)</f>
        <v/>
      </c>
      <c r="D70" s="6">
        <f>IF(A70="","",MIN(B70,$B$6-C70))</f>
        <v/>
      </c>
      <c r="E70" s="6">
        <f>IF(A70="","",MAX(0,B70-D70))</f>
        <v/>
      </c>
      <c r="F70" s="6">
        <f>IF(A70="","",C70+D70)</f>
        <v/>
      </c>
    </row>
    <row r="71">
      <c r="A71" s="6">
        <f>IF(63&lt;=$B$5,63,"")</f>
        <v/>
      </c>
      <c r="B71" s="6">
        <f>IF(A71="","",E70)</f>
        <v/>
      </c>
      <c r="C71" s="6">
        <f>IF(A71="","",B71*$B$4/12)</f>
        <v/>
      </c>
      <c r="D71" s="6">
        <f>IF(A71="","",MIN(B71,$B$6-C71))</f>
        <v/>
      </c>
      <c r="E71" s="6">
        <f>IF(A71="","",MAX(0,B71-D71))</f>
        <v/>
      </c>
      <c r="F71" s="6">
        <f>IF(A71="","",C71+D71)</f>
        <v/>
      </c>
    </row>
    <row r="72">
      <c r="A72" s="6">
        <f>IF(64&lt;=$B$5,64,"")</f>
        <v/>
      </c>
      <c r="B72" s="6">
        <f>IF(A72="","",E71)</f>
        <v/>
      </c>
      <c r="C72" s="6">
        <f>IF(A72="","",B72*$B$4/12)</f>
        <v/>
      </c>
      <c r="D72" s="6">
        <f>IF(A72="","",MIN(B72,$B$6-C72))</f>
        <v/>
      </c>
      <c r="E72" s="6">
        <f>IF(A72="","",MAX(0,B72-D72))</f>
        <v/>
      </c>
      <c r="F72" s="6">
        <f>IF(A72="","",C72+D72)</f>
        <v/>
      </c>
    </row>
    <row r="73">
      <c r="A73" s="6">
        <f>IF(65&lt;=$B$5,65,"")</f>
        <v/>
      </c>
      <c r="B73" s="6">
        <f>IF(A73="","",E72)</f>
        <v/>
      </c>
      <c r="C73" s="6">
        <f>IF(A73="","",B73*$B$4/12)</f>
        <v/>
      </c>
      <c r="D73" s="6">
        <f>IF(A73="","",MIN(B73,$B$6-C73))</f>
        <v/>
      </c>
      <c r="E73" s="6">
        <f>IF(A73="","",MAX(0,B73-D73))</f>
        <v/>
      </c>
      <c r="F73" s="6">
        <f>IF(A73="","",C73+D73)</f>
        <v/>
      </c>
    </row>
    <row r="74">
      <c r="A74" s="6">
        <f>IF(66&lt;=$B$5,66,"")</f>
        <v/>
      </c>
      <c r="B74" s="6">
        <f>IF(A74="","",E73)</f>
        <v/>
      </c>
      <c r="C74" s="6">
        <f>IF(A74="","",B74*$B$4/12)</f>
        <v/>
      </c>
      <c r="D74" s="6">
        <f>IF(A74="","",MIN(B74,$B$6-C74))</f>
        <v/>
      </c>
      <c r="E74" s="6">
        <f>IF(A74="","",MAX(0,B74-D74))</f>
        <v/>
      </c>
      <c r="F74" s="6">
        <f>IF(A74="","",C74+D74)</f>
        <v/>
      </c>
    </row>
    <row r="75">
      <c r="A75" s="6">
        <f>IF(67&lt;=$B$5,67,"")</f>
        <v/>
      </c>
      <c r="B75" s="6">
        <f>IF(A75="","",E74)</f>
        <v/>
      </c>
      <c r="C75" s="6">
        <f>IF(A75="","",B75*$B$4/12)</f>
        <v/>
      </c>
      <c r="D75" s="6">
        <f>IF(A75="","",MIN(B75,$B$6-C75))</f>
        <v/>
      </c>
      <c r="E75" s="6">
        <f>IF(A75="","",MAX(0,B75-D75))</f>
        <v/>
      </c>
      <c r="F75" s="6">
        <f>IF(A75="","",C75+D75)</f>
        <v/>
      </c>
    </row>
    <row r="76">
      <c r="A76" s="6">
        <f>IF(68&lt;=$B$5,68,"")</f>
        <v/>
      </c>
      <c r="B76" s="6">
        <f>IF(A76="","",E75)</f>
        <v/>
      </c>
      <c r="C76" s="6">
        <f>IF(A76="","",B76*$B$4/12)</f>
        <v/>
      </c>
      <c r="D76" s="6">
        <f>IF(A76="","",MIN(B76,$B$6-C76))</f>
        <v/>
      </c>
      <c r="E76" s="6">
        <f>IF(A76="","",MAX(0,B76-D76))</f>
        <v/>
      </c>
      <c r="F76" s="6">
        <f>IF(A76="","",C76+D76)</f>
        <v/>
      </c>
    </row>
    <row r="77">
      <c r="A77" s="6">
        <f>IF(69&lt;=$B$5,69,"")</f>
        <v/>
      </c>
      <c r="B77" s="6">
        <f>IF(A77="","",E76)</f>
        <v/>
      </c>
      <c r="C77" s="6">
        <f>IF(A77="","",B77*$B$4/12)</f>
        <v/>
      </c>
      <c r="D77" s="6">
        <f>IF(A77="","",MIN(B77,$B$6-C77))</f>
        <v/>
      </c>
      <c r="E77" s="6">
        <f>IF(A77="","",MAX(0,B77-D77))</f>
        <v/>
      </c>
      <c r="F77" s="6">
        <f>IF(A77="","",C77+D77)</f>
        <v/>
      </c>
    </row>
    <row r="78">
      <c r="A78" s="6">
        <f>IF(70&lt;=$B$5,70,"")</f>
        <v/>
      </c>
      <c r="B78" s="6">
        <f>IF(A78="","",E77)</f>
        <v/>
      </c>
      <c r="C78" s="6">
        <f>IF(A78="","",B78*$B$4/12)</f>
        <v/>
      </c>
      <c r="D78" s="6">
        <f>IF(A78="","",MIN(B78,$B$6-C78))</f>
        <v/>
      </c>
      <c r="E78" s="6">
        <f>IF(A78="","",MAX(0,B78-D78))</f>
        <v/>
      </c>
      <c r="F78" s="6">
        <f>IF(A78="","",C78+D78)</f>
        <v/>
      </c>
    </row>
    <row r="79">
      <c r="A79" s="6">
        <f>IF(71&lt;=$B$5,71,"")</f>
        <v/>
      </c>
      <c r="B79" s="6">
        <f>IF(A79="","",E78)</f>
        <v/>
      </c>
      <c r="C79" s="6">
        <f>IF(A79="","",B79*$B$4/12)</f>
        <v/>
      </c>
      <c r="D79" s="6">
        <f>IF(A79="","",MIN(B79,$B$6-C79))</f>
        <v/>
      </c>
      <c r="E79" s="6">
        <f>IF(A79="","",MAX(0,B79-D79))</f>
        <v/>
      </c>
      <c r="F79" s="6">
        <f>IF(A79="","",C79+D79)</f>
        <v/>
      </c>
    </row>
    <row r="80">
      <c r="A80" s="6">
        <f>IF(72&lt;=$B$5,72,"")</f>
        <v/>
      </c>
      <c r="B80" s="6">
        <f>IF(A80="","",E79)</f>
        <v/>
      </c>
      <c r="C80" s="6">
        <f>IF(A80="","",B80*$B$4/12)</f>
        <v/>
      </c>
      <c r="D80" s="6">
        <f>IF(A80="","",MIN(B80,$B$6-C80))</f>
        <v/>
      </c>
      <c r="E80" s="6">
        <f>IF(A80="","",MAX(0,B80-D80))</f>
        <v/>
      </c>
      <c r="F80" s="6">
        <f>IF(A80="","",C80+D80)</f>
        <v/>
      </c>
    </row>
    <row r="81">
      <c r="A81" s="6">
        <f>IF(73&lt;=$B$5,73,"")</f>
        <v/>
      </c>
      <c r="B81" s="6">
        <f>IF(A81="","",E80)</f>
        <v/>
      </c>
      <c r="C81" s="6">
        <f>IF(A81="","",B81*$B$4/12)</f>
        <v/>
      </c>
      <c r="D81" s="6">
        <f>IF(A81="","",MIN(B81,$B$6-C81))</f>
        <v/>
      </c>
      <c r="E81" s="6">
        <f>IF(A81="","",MAX(0,B81-D81))</f>
        <v/>
      </c>
      <c r="F81" s="6">
        <f>IF(A81="","",C81+D81)</f>
        <v/>
      </c>
    </row>
    <row r="82">
      <c r="A82" s="6">
        <f>IF(74&lt;=$B$5,74,"")</f>
        <v/>
      </c>
      <c r="B82" s="6">
        <f>IF(A82="","",E81)</f>
        <v/>
      </c>
      <c r="C82" s="6">
        <f>IF(A82="","",B82*$B$4/12)</f>
        <v/>
      </c>
      <c r="D82" s="6">
        <f>IF(A82="","",MIN(B82,$B$6-C82))</f>
        <v/>
      </c>
      <c r="E82" s="6">
        <f>IF(A82="","",MAX(0,B82-D82))</f>
        <v/>
      </c>
      <c r="F82" s="6">
        <f>IF(A82="","",C82+D82)</f>
        <v/>
      </c>
    </row>
    <row r="83">
      <c r="A83" s="6">
        <f>IF(75&lt;=$B$5,75,"")</f>
        <v/>
      </c>
      <c r="B83" s="6">
        <f>IF(A83="","",E82)</f>
        <v/>
      </c>
      <c r="C83" s="6">
        <f>IF(A83="","",B83*$B$4/12)</f>
        <v/>
      </c>
      <c r="D83" s="6">
        <f>IF(A83="","",MIN(B83,$B$6-C83))</f>
        <v/>
      </c>
      <c r="E83" s="6">
        <f>IF(A83="","",MAX(0,B83-D83))</f>
        <v/>
      </c>
      <c r="F83" s="6">
        <f>IF(A83="","",C83+D83)</f>
        <v/>
      </c>
    </row>
    <row r="84">
      <c r="A84" s="6">
        <f>IF(76&lt;=$B$5,76,"")</f>
        <v/>
      </c>
      <c r="B84" s="6">
        <f>IF(A84="","",E83)</f>
        <v/>
      </c>
      <c r="C84" s="6">
        <f>IF(A84="","",B84*$B$4/12)</f>
        <v/>
      </c>
      <c r="D84" s="6">
        <f>IF(A84="","",MIN(B84,$B$6-C84))</f>
        <v/>
      </c>
      <c r="E84" s="6">
        <f>IF(A84="","",MAX(0,B84-D84))</f>
        <v/>
      </c>
      <c r="F84" s="6">
        <f>IF(A84="","",C84+D84)</f>
        <v/>
      </c>
    </row>
    <row r="85">
      <c r="A85" s="6">
        <f>IF(77&lt;=$B$5,77,"")</f>
        <v/>
      </c>
      <c r="B85" s="6">
        <f>IF(A85="","",E84)</f>
        <v/>
      </c>
      <c r="C85" s="6">
        <f>IF(A85="","",B85*$B$4/12)</f>
        <v/>
      </c>
      <c r="D85" s="6">
        <f>IF(A85="","",MIN(B85,$B$6-C85))</f>
        <v/>
      </c>
      <c r="E85" s="6">
        <f>IF(A85="","",MAX(0,B85-D85))</f>
        <v/>
      </c>
      <c r="F85" s="6">
        <f>IF(A85="","",C85+D85)</f>
        <v/>
      </c>
    </row>
    <row r="86">
      <c r="A86" s="6">
        <f>IF(78&lt;=$B$5,78,"")</f>
        <v/>
      </c>
      <c r="B86" s="6">
        <f>IF(A86="","",E85)</f>
        <v/>
      </c>
      <c r="C86" s="6">
        <f>IF(A86="","",B86*$B$4/12)</f>
        <v/>
      </c>
      <c r="D86" s="6">
        <f>IF(A86="","",MIN(B86,$B$6-C86))</f>
        <v/>
      </c>
      <c r="E86" s="6">
        <f>IF(A86="","",MAX(0,B86-D86))</f>
        <v/>
      </c>
      <c r="F86" s="6">
        <f>IF(A86="","",C86+D86)</f>
        <v/>
      </c>
    </row>
    <row r="87">
      <c r="A87" s="6">
        <f>IF(79&lt;=$B$5,79,"")</f>
        <v/>
      </c>
      <c r="B87" s="6">
        <f>IF(A87="","",E86)</f>
        <v/>
      </c>
      <c r="C87" s="6">
        <f>IF(A87="","",B87*$B$4/12)</f>
        <v/>
      </c>
      <c r="D87" s="6">
        <f>IF(A87="","",MIN(B87,$B$6-C87))</f>
        <v/>
      </c>
      <c r="E87" s="6">
        <f>IF(A87="","",MAX(0,B87-D87))</f>
        <v/>
      </c>
      <c r="F87" s="6">
        <f>IF(A87="","",C87+D87)</f>
        <v/>
      </c>
    </row>
    <row r="88">
      <c r="A88" s="6">
        <f>IF(80&lt;=$B$5,80,"")</f>
        <v/>
      </c>
      <c r="B88" s="6">
        <f>IF(A88="","",E87)</f>
        <v/>
      </c>
      <c r="C88" s="6">
        <f>IF(A88="","",B88*$B$4/12)</f>
        <v/>
      </c>
      <c r="D88" s="6">
        <f>IF(A88="","",MIN(B88,$B$6-C88))</f>
        <v/>
      </c>
      <c r="E88" s="6">
        <f>IF(A88="","",MAX(0,B88-D88))</f>
        <v/>
      </c>
      <c r="F88" s="6">
        <f>IF(A88="","",C88+D88)</f>
        <v/>
      </c>
    </row>
    <row r="89">
      <c r="A89" s="6">
        <f>IF(81&lt;=$B$5,81,"")</f>
        <v/>
      </c>
      <c r="B89" s="6">
        <f>IF(A89="","",E88)</f>
        <v/>
      </c>
      <c r="C89" s="6">
        <f>IF(A89="","",B89*$B$4/12)</f>
        <v/>
      </c>
      <c r="D89" s="6">
        <f>IF(A89="","",MIN(B89,$B$6-C89))</f>
        <v/>
      </c>
      <c r="E89" s="6">
        <f>IF(A89="","",MAX(0,B89-D89))</f>
        <v/>
      </c>
      <c r="F89" s="6">
        <f>IF(A89="","",C89+D89)</f>
        <v/>
      </c>
    </row>
    <row r="90">
      <c r="A90" s="6">
        <f>IF(82&lt;=$B$5,82,"")</f>
        <v/>
      </c>
      <c r="B90" s="6">
        <f>IF(A90="","",E89)</f>
        <v/>
      </c>
      <c r="C90" s="6">
        <f>IF(A90="","",B90*$B$4/12)</f>
        <v/>
      </c>
      <c r="D90" s="6">
        <f>IF(A90="","",MIN(B90,$B$6-C90))</f>
        <v/>
      </c>
      <c r="E90" s="6">
        <f>IF(A90="","",MAX(0,B90-D90))</f>
        <v/>
      </c>
      <c r="F90" s="6">
        <f>IF(A90="","",C90+D90)</f>
        <v/>
      </c>
    </row>
    <row r="91">
      <c r="A91" s="6">
        <f>IF(83&lt;=$B$5,83,"")</f>
        <v/>
      </c>
      <c r="B91" s="6">
        <f>IF(A91="","",E90)</f>
        <v/>
      </c>
      <c r="C91" s="6">
        <f>IF(A91="","",B91*$B$4/12)</f>
        <v/>
      </c>
      <c r="D91" s="6">
        <f>IF(A91="","",MIN(B91,$B$6-C91))</f>
        <v/>
      </c>
      <c r="E91" s="6">
        <f>IF(A91="","",MAX(0,B91-D91))</f>
        <v/>
      </c>
      <c r="F91" s="6">
        <f>IF(A91="","",C91+D91)</f>
        <v/>
      </c>
    </row>
    <row r="92">
      <c r="A92" s="6">
        <f>IF(84&lt;=$B$5,84,"")</f>
        <v/>
      </c>
      <c r="B92" s="6">
        <f>IF(A92="","",E91)</f>
        <v/>
      </c>
      <c r="C92" s="6">
        <f>IF(A92="","",B92*$B$4/12)</f>
        <v/>
      </c>
      <c r="D92" s="6">
        <f>IF(A92="","",MIN(B92,$B$6-C92))</f>
        <v/>
      </c>
      <c r="E92" s="6">
        <f>IF(A92="","",MAX(0,B92-D92))</f>
        <v/>
      </c>
      <c r="F92" s="6">
        <f>IF(A92="","",C92+D92)</f>
        <v/>
      </c>
    </row>
    <row r="93">
      <c r="A93" s="6">
        <f>IF(85&lt;=$B$5,85,"")</f>
        <v/>
      </c>
      <c r="B93" s="6">
        <f>IF(A93="","",E92)</f>
        <v/>
      </c>
      <c r="C93" s="6">
        <f>IF(A93="","",B93*$B$4/12)</f>
        <v/>
      </c>
      <c r="D93" s="6">
        <f>IF(A93="","",MIN(B93,$B$6-C93))</f>
        <v/>
      </c>
      <c r="E93" s="6">
        <f>IF(A93="","",MAX(0,B93-D93))</f>
        <v/>
      </c>
      <c r="F93" s="6">
        <f>IF(A93="","",C93+D93)</f>
        <v/>
      </c>
    </row>
    <row r="94">
      <c r="A94" s="6">
        <f>IF(86&lt;=$B$5,86,"")</f>
        <v/>
      </c>
      <c r="B94" s="6">
        <f>IF(A94="","",E93)</f>
        <v/>
      </c>
      <c r="C94" s="6">
        <f>IF(A94="","",B94*$B$4/12)</f>
        <v/>
      </c>
      <c r="D94" s="6">
        <f>IF(A94="","",MIN(B94,$B$6-C94))</f>
        <v/>
      </c>
      <c r="E94" s="6">
        <f>IF(A94="","",MAX(0,B94-D94))</f>
        <v/>
      </c>
      <c r="F94" s="6">
        <f>IF(A94="","",C94+D94)</f>
        <v/>
      </c>
    </row>
    <row r="95">
      <c r="A95" s="6">
        <f>IF(87&lt;=$B$5,87,"")</f>
        <v/>
      </c>
      <c r="B95" s="6">
        <f>IF(A95="","",E94)</f>
        <v/>
      </c>
      <c r="C95" s="6">
        <f>IF(A95="","",B95*$B$4/12)</f>
        <v/>
      </c>
      <c r="D95" s="6">
        <f>IF(A95="","",MIN(B95,$B$6-C95))</f>
        <v/>
      </c>
      <c r="E95" s="6">
        <f>IF(A95="","",MAX(0,B95-D95))</f>
        <v/>
      </c>
      <c r="F95" s="6">
        <f>IF(A95="","",C95+D95)</f>
        <v/>
      </c>
    </row>
    <row r="96">
      <c r="A96" s="6">
        <f>IF(88&lt;=$B$5,88,"")</f>
        <v/>
      </c>
      <c r="B96" s="6">
        <f>IF(A96="","",E95)</f>
        <v/>
      </c>
      <c r="C96" s="6">
        <f>IF(A96="","",B96*$B$4/12)</f>
        <v/>
      </c>
      <c r="D96" s="6">
        <f>IF(A96="","",MIN(B96,$B$6-C96))</f>
        <v/>
      </c>
      <c r="E96" s="6">
        <f>IF(A96="","",MAX(0,B96-D96))</f>
        <v/>
      </c>
      <c r="F96" s="6">
        <f>IF(A96="","",C96+D96)</f>
        <v/>
      </c>
    </row>
    <row r="97">
      <c r="A97" s="6">
        <f>IF(89&lt;=$B$5,89,"")</f>
        <v/>
      </c>
      <c r="B97" s="6">
        <f>IF(A97="","",E96)</f>
        <v/>
      </c>
      <c r="C97" s="6">
        <f>IF(A97="","",B97*$B$4/12)</f>
        <v/>
      </c>
      <c r="D97" s="6">
        <f>IF(A97="","",MIN(B97,$B$6-C97))</f>
        <v/>
      </c>
      <c r="E97" s="6">
        <f>IF(A97="","",MAX(0,B97-D97))</f>
        <v/>
      </c>
      <c r="F97" s="6">
        <f>IF(A97="","",C97+D97)</f>
        <v/>
      </c>
    </row>
    <row r="98">
      <c r="A98" s="6">
        <f>IF(90&lt;=$B$5,90,"")</f>
        <v/>
      </c>
      <c r="B98" s="6">
        <f>IF(A98="","",E97)</f>
        <v/>
      </c>
      <c r="C98" s="6">
        <f>IF(A98="","",B98*$B$4/12)</f>
        <v/>
      </c>
      <c r="D98" s="6">
        <f>IF(A98="","",MIN(B98,$B$6-C98))</f>
        <v/>
      </c>
      <c r="E98" s="6">
        <f>IF(A98="","",MAX(0,B98-D98))</f>
        <v/>
      </c>
      <c r="F98" s="6">
        <f>IF(A98="","",C98+D98)</f>
        <v/>
      </c>
    </row>
    <row r="99">
      <c r="A99" s="6">
        <f>IF(91&lt;=$B$5,91,"")</f>
        <v/>
      </c>
      <c r="B99" s="6">
        <f>IF(A99="","",E98)</f>
        <v/>
      </c>
      <c r="C99" s="6">
        <f>IF(A99="","",B99*$B$4/12)</f>
        <v/>
      </c>
      <c r="D99" s="6">
        <f>IF(A99="","",MIN(B99,$B$6-C99))</f>
        <v/>
      </c>
      <c r="E99" s="6">
        <f>IF(A99="","",MAX(0,B99-D99))</f>
        <v/>
      </c>
      <c r="F99" s="6">
        <f>IF(A99="","",C99+D99)</f>
        <v/>
      </c>
    </row>
    <row r="100">
      <c r="A100" s="6">
        <f>IF(92&lt;=$B$5,92,"")</f>
        <v/>
      </c>
      <c r="B100" s="6">
        <f>IF(A100="","",E99)</f>
        <v/>
      </c>
      <c r="C100" s="6">
        <f>IF(A100="","",B100*$B$4/12)</f>
        <v/>
      </c>
      <c r="D100" s="6">
        <f>IF(A100="","",MIN(B100,$B$6-C100))</f>
        <v/>
      </c>
      <c r="E100" s="6">
        <f>IF(A100="","",MAX(0,B100-D100))</f>
        <v/>
      </c>
      <c r="F100" s="6">
        <f>IF(A100="","",C100+D100)</f>
        <v/>
      </c>
    </row>
    <row r="101">
      <c r="A101" s="6">
        <f>IF(93&lt;=$B$5,93,"")</f>
        <v/>
      </c>
      <c r="B101" s="6">
        <f>IF(A101="","",E100)</f>
        <v/>
      </c>
      <c r="C101" s="6">
        <f>IF(A101="","",B101*$B$4/12)</f>
        <v/>
      </c>
      <c r="D101" s="6">
        <f>IF(A101="","",MIN(B101,$B$6-C101))</f>
        <v/>
      </c>
      <c r="E101" s="6">
        <f>IF(A101="","",MAX(0,B101-D101))</f>
        <v/>
      </c>
      <c r="F101" s="6">
        <f>IF(A101="","",C101+D101)</f>
        <v/>
      </c>
    </row>
    <row r="102">
      <c r="A102" s="6">
        <f>IF(94&lt;=$B$5,94,"")</f>
        <v/>
      </c>
      <c r="B102" s="6">
        <f>IF(A102="","",E101)</f>
        <v/>
      </c>
      <c r="C102" s="6">
        <f>IF(A102="","",B102*$B$4/12)</f>
        <v/>
      </c>
      <c r="D102" s="6">
        <f>IF(A102="","",MIN(B102,$B$6-C102))</f>
        <v/>
      </c>
      <c r="E102" s="6">
        <f>IF(A102="","",MAX(0,B102-D102))</f>
        <v/>
      </c>
      <c r="F102" s="6">
        <f>IF(A102="","",C102+D102)</f>
        <v/>
      </c>
    </row>
    <row r="103">
      <c r="A103" s="6">
        <f>IF(95&lt;=$B$5,95,"")</f>
        <v/>
      </c>
      <c r="B103" s="6">
        <f>IF(A103="","",E102)</f>
        <v/>
      </c>
      <c r="C103" s="6">
        <f>IF(A103="","",B103*$B$4/12)</f>
        <v/>
      </c>
      <c r="D103" s="6">
        <f>IF(A103="","",MIN(B103,$B$6-C103))</f>
        <v/>
      </c>
      <c r="E103" s="6">
        <f>IF(A103="","",MAX(0,B103-D103))</f>
        <v/>
      </c>
      <c r="F103" s="6">
        <f>IF(A103="","",C103+D103)</f>
        <v/>
      </c>
    </row>
    <row r="104">
      <c r="A104" s="6">
        <f>IF(96&lt;=$B$5,96,"")</f>
        <v/>
      </c>
      <c r="B104" s="6">
        <f>IF(A104="","",E103)</f>
        <v/>
      </c>
      <c r="C104" s="6">
        <f>IF(A104="","",B104*$B$4/12)</f>
        <v/>
      </c>
      <c r="D104" s="6">
        <f>IF(A104="","",MIN(B104,$B$6-C104))</f>
        <v/>
      </c>
      <c r="E104" s="6">
        <f>IF(A104="","",MAX(0,B104-D104))</f>
        <v/>
      </c>
      <c r="F104" s="6">
        <f>IF(A104="","",C104+D104)</f>
        <v/>
      </c>
    </row>
    <row r="105">
      <c r="A105" s="6">
        <f>IF(97&lt;=$B$5,97,"")</f>
        <v/>
      </c>
      <c r="B105" s="6">
        <f>IF(A105="","",E104)</f>
        <v/>
      </c>
      <c r="C105" s="6">
        <f>IF(A105="","",B105*$B$4/12)</f>
        <v/>
      </c>
      <c r="D105" s="6">
        <f>IF(A105="","",MIN(B105,$B$6-C105))</f>
        <v/>
      </c>
      <c r="E105" s="6">
        <f>IF(A105="","",MAX(0,B105-D105))</f>
        <v/>
      </c>
      <c r="F105" s="6">
        <f>IF(A105="","",C105+D105)</f>
        <v/>
      </c>
    </row>
    <row r="106">
      <c r="A106" s="6">
        <f>IF(98&lt;=$B$5,98,"")</f>
        <v/>
      </c>
      <c r="B106" s="6">
        <f>IF(A106="","",E105)</f>
        <v/>
      </c>
      <c r="C106" s="6">
        <f>IF(A106="","",B106*$B$4/12)</f>
        <v/>
      </c>
      <c r="D106" s="6">
        <f>IF(A106="","",MIN(B106,$B$6-C106))</f>
        <v/>
      </c>
      <c r="E106" s="6">
        <f>IF(A106="","",MAX(0,B106-D106))</f>
        <v/>
      </c>
      <c r="F106" s="6">
        <f>IF(A106="","",C106+D106)</f>
        <v/>
      </c>
    </row>
    <row r="107">
      <c r="A107" s="6">
        <f>IF(99&lt;=$B$5,99,"")</f>
        <v/>
      </c>
      <c r="B107" s="6">
        <f>IF(A107="","",E106)</f>
        <v/>
      </c>
      <c r="C107" s="6">
        <f>IF(A107="","",B107*$B$4/12)</f>
        <v/>
      </c>
      <c r="D107" s="6">
        <f>IF(A107="","",MIN(B107,$B$6-C107))</f>
        <v/>
      </c>
      <c r="E107" s="6">
        <f>IF(A107="","",MAX(0,B107-D107))</f>
        <v/>
      </c>
      <c r="F107" s="6">
        <f>IF(A107="","",C107+D107)</f>
        <v/>
      </c>
    </row>
    <row r="108">
      <c r="A108" s="6">
        <f>IF(100&lt;=$B$5,100,"")</f>
        <v/>
      </c>
      <c r="B108" s="6">
        <f>IF(A108="","",E107)</f>
        <v/>
      </c>
      <c r="C108" s="6">
        <f>IF(A108="","",B108*$B$4/12)</f>
        <v/>
      </c>
      <c r="D108" s="6">
        <f>IF(A108="","",MIN(B108,$B$6-C108))</f>
        <v/>
      </c>
      <c r="E108" s="6">
        <f>IF(A108="","",MAX(0,B108-D108))</f>
        <v/>
      </c>
      <c r="F108" s="6">
        <f>IF(A108="","",C108+D108)</f>
        <v/>
      </c>
    </row>
    <row r="109">
      <c r="A109" s="6">
        <f>IF(101&lt;=$B$5,101,"")</f>
        <v/>
      </c>
      <c r="B109" s="6">
        <f>IF(A109="","",E108)</f>
        <v/>
      </c>
      <c r="C109" s="6">
        <f>IF(A109="","",B109*$B$4/12)</f>
        <v/>
      </c>
      <c r="D109" s="6">
        <f>IF(A109="","",MIN(B109,$B$6-C109))</f>
        <v/>
      </c>
      <c r="E109" s="6">
        <f>IF(A109="","",MAX(0,B109-D109))</f>
        <v/>
      </c>
      <c r="F109" s="6">
        <f>IF(A109="","",C109+D109)</f>
        <v/>
      </c>
    </row>
    <row r="110">
      <c r="A110" s="6">
        <f>IF(102&lt;=$B$5,102,"")</f>
        <v/>
      </c>
      <c r="B110" s="6">
        <f>IF(A110="","",E109)</f>
        <v/>
      </c>
      <c r="C110" s="6">
        <f>IF(A110="","",B110*$B$4/12)</f>
        <v/>
      </c>
      <c r="D110" s="6">
        <f>IF(A110="","",MIN(B110,$B$6-C110))</f>
        <v/>
      </c>
      <c r="E110" s="6">
        <f>IF(A110="","",MAX(0,B110-D110))</f>
        <v/>
      </c>
      <c r="F110" s="6">
        <f>IF(A110="","",C110+D110)</f>
        <v/>
      </c>
    </row>
    <row r="111">
      <c r="A111" s="6">
        <f>IF(103&lt;=$B$5,103,"")</f>
        <v/>
      </c>
      <c r="B111" s="6">
        <f>IF(A111="","",E110)</f>
        <v/>
      </c>
      <c r="C111" s="6">
        <f>IF(A111="","",B111*$B$4/12)</f>
        <v/>
      </c>
      <c r="D111" s="6">
        <f>IF(A111="","",MIN(B111,$B$6-C111))</f>
        <v/>
      </c>
      <c r="E111" s="6">
        <f>IF(A111="","",MAX(0,B111-D111))</f>
        <v/>
      </c>
      <c r="F111" s="6">
        <f>IF(A111="","",C111+D111)</f>
        <v/>
      </c>
    </row>
    <row r="112">
      <c r="A112" s="6">
        <f>IF(104&lt;=$B$5,104,"")</f>
        <v/>
      </c>
      <c r="B112" s="6">
        <f>IF(A112="","",E111)</f>
        <v/>
      </c>
      <c r="C112" s="6">
        <f>IF(A112="","",B112*$B$4/12)</f>
        <v/>
      </c>
      <c r="D112" s="6">
        <f>IF(A112="","",MIN(B112,$B$6-C112))</f>
        <v/>
      </c>
      <c r="E112" s="6">
        <f>IF(A112="","",MAX(0,B112-D112))</f>
        <v/>
      </c>
      <c r="F112" s="6">
        <f>IF(A112="","",C112+D112)</f>
        <v/>
      </c>
    </row>
    <row r="113">
      <c r="A113" s="6">
        <f>IF(105&lt;=$B$5,105,"")</f>
        <v/>
      </c>
      <c r="B113" s="6">
        <f>IF(A113="","",E112)</f>
        <v/>
      </c>
      <c r="C113" s="6">
        <f>IF(A113="","",B113*$B$4/12)</f>
        <v/>
      </c>
      <c r="D113" s="6">
        <f>IF(A113="","",MIN(B113,$B$6-C113))</f>
        <v/>
      </c>
      <c r="E113" s="6">
        <f>IF(A113="","",MAX(0,B113-D113))</f>
        <v/>
      </c>
      <c r="F113" s="6">
        <f>IF(A113="","",C113+D113)</f>
        <v/>
      </c>
    </row>
    <row r="114">
      <c r="A114" s="6">
        <f>IF(106&lt;=$B$5,106,"")</f>
        <v/>
      </c>
      <c r="B114" s="6">
        <f>IF(A114="","",E113)</f>
        <v/>
      </c>
      <c r="C114" s="6">
        <f>IF(A114="","",B114*$B$4/12)</f>
        <v/>
      </c>
      <c r="D114" s="6">
        <f>IF(A114="","",MIN(B114,$B$6-C114))</f>
        <v/>
      </c>
      <c r="E114" s="6">
        <f>IF(A114="","",MAX(0,B114-D114))</f>
        <v/>
      </c>
      <c r="F114" s="6">
        <f>IF(A114="","",C114+D114)</f>
        <v/>
      </c>
    </row>
    <row r="115">
      <c r="A115" s="6">
        <f>IF(107&lt;=$B$5,107,"")</f>
        <v/>
      </c>
      <c r="B115" s="6">
        <f>IF(A115="","",E114)</f>
        <v/>
      </c>
      <c r="C115" s="6">
        <f>IF(A115="","",B115*$B$4/12)</f>
        <v/>
      </c>
      <c r="D115" s="6">
        <f>IF(A115="","",MIN(B115,$B$6-C115))</f>
        <v/>
      </c>
      <c r="E115" s="6">
        <f>IF(A115="","",MAX(0,B115-D115))</f>
        <v/>
      </c>
      <c r="F115" s="6">
        <f>IF(A115="","",C115+D115)</f>
        <v/>
      </c>
    </row>
    <row r="116">
      <c r="A116" s="6">
        <f>IF(108&lt;=$B$5,108,"")</f>
        <v/>
      </c>
      <c r="B116" s="6">
        <f>IF(A116="","",E115)</f>
        <v/>
      </c>
      <c r="C116" s="6">
        <f>IF(A116="","",B116*$B$4/12)</f>
        <v/>
      </c>
      <c r="D116" s="6">
        <f>IF(A116="","",MIN(B116,$B$6-C116))</f>
        <v/>
      </c>
      <c r="E116" s="6">
        <f>IF(A116="","",MAX(0,B116-D116))</f>
        <v/>
      </c>
      <c r="F116" s="6">
        <f>IF(A116="","",C116+D116)</f>
        <v/>
      </c>
    </row>
    <row r="117">
      <c r="A117" s="6">
        <f>IF(109&lt;=$B$5,109,"")</f>
        <v/>
      </c>
      <c r="B117" s="6">
        <f>IF(A117="","",E116)</f>
        <v/>
      </c>
      <c r="C117" s="6">
        <f>IF(A117="","",B117*$B$4/12)</f>
        <v/>
      </c>
      <c r="D117" s="6">
        <f>IF(A117="","",MIN(B117,$B$6-C117))</f>
        <v/>
      </c>
      <c r="E117" s="6">
        <f>IF(A117="","",MAX(0,B117-D117))</f>
        <v/>
      </c>
      <c r="F117" s="6">
        <f>IF(A117="","",C117+D117)</f>
        <v/>
      </c>
    </row>
    <row r="118">
      <c r="A118" s="6">
        <f>IF(110&lt;=$B$5,110,"")</f>
        <v/>
      </c>
      <c r="B118" s="6">
        <f>IF(A118="","",E117)</f>
        <v/>
      </c>
      <c r="C118" s="6">
        <f>IF(A118="","",B118*$B$4/12)</f>
        <v/>
      </c>
      <c r="D118" s="6">
        <f>IF(A118="","",MIN(B118,$B$6-C118))</f>
        <v/>
      </c>
      <c r="E118" s="6">
        <f>IF(A118="","",MAX(0,B118-D118))</f>
        <v/>
      </c>
      <c r="F118" s="6">
        <f>IF(A118="","",C118+D118)</f>
        <v/>
      </c>
    </row>
    <row r="119">
      <c r="A119" s="6">
        <f>IF(111&lt;=$B$5,111,"")</f>
        <v/>
      </c>
      <c r="B119" s="6">
        <f>IF(A119="","",E118)</f>
        <v/>
      </c>
      <c r="C119" s="6">
        <f>IF(A119="","",B119*$B$4/12)</f>
        <v/>
      </c>
      <c r="D119" s="6">
        <f>IF(A119="","",MIN(B119,$B$6-C119))</f>
        <v/>
      </c>
      <c r="E119" s="6">
        <f>IF(A119="","",MAX(0,B119-D119))</f>
        <v/>
      </c>
      <c r="F119" s="6">
        <f>IF(A119="","",C119+D119)</f>
        <v/>
      </c>
    </row>
    <row r="120">
      <c r="A120" s="6">
        <f>IF(112&lt;=$B$5,112,"")</f>
        <v/>
      </c>
      <c r="B120" s="6">
        <f>IF(A120="","",E119)</f>
        <v/>
      </c>
      <c r="C120" s="6">
        <f>IF(A120="","",B120*$B$4/12)</f>
        <v/>
      </c>
      <c r="D120" s="6">
        <f>IF(A120="","",MIN(B120,$B$6-C120))</f>
        <v/>
      </c>
      <c r="E120" s="6">
        <f>IF(A120="","",MAX(0,B120-D120))</f>
        <v/>
      </c>
      <c r="F120" s="6">
        <f>IF(A120="","",C120+D120)</f>
        <v/>
      </c>
    </row>
    <row r="121">
      <c r="A121" s="6">
        <f>IF(113&lt;=$B$5,113,"")</f>
        <v/>
      </c>
      <c r="B121" s="6">
        <f>IF(A121="","",E120)</f>
        <v/>
      </c>
      <c r="C121" s="6">
        <f>IF(A121="","",B121*$B$4/12)</f>
        <v/>
      </c>
      <c r="D121" s="6">
        <f>IF(A121="","",MIN(B121,$B$6-C121))</f>
        <v/>
      </c>
      <c r="E121" s="6">
        <f>IF(A121="","",MAX(0,B121-D121))</f>
        <v/>
      </c>
      <c r="F121" s="6">
        <f>IF(A121="","",C121+D121)</f>
        <v/>
      </c>
    </row>
    <row r="122">
      <c r="A122" s="6">
        <f>IF(114&lt;=$B$5,114,"")</f>
        <v/>
      </c>
      <c r="B122" s="6">
        <f>IF(A122="","",E121)</f>
        <v/>
      </c>
      <c r="C122" s="6">
        <f>IF(A122="","",B122*$B$4/12)</f>
        <v/>
      </c>
      <c r="D122" s="6">
        <f>IF(A122="","",MIN(B122,$B$6-C122))</f>
        <v/>
      </c>
      <c r="E122" s="6">
        <f>IF(A122="","",MAX(0,B122-D122))</f>
        <v/>
      </c>
      <c r="F122" s="6">
        <f>IF(A122="","",C122+D122)</f>
        <v/>
      </c>
    </row>
    <row r="123">
      <c r="A123" s="6">
        <f>IF(115&lt;=$B$5,115,"")</f>
        <v/>
      </c>
      <c r="B123" s="6">
        <f>IF(A123="","",E122)</f>
        <v/>
      </c>
      <c r="C123" s="6">
        <f>IF(A123="","",B123*$B$4/12)</f>
        <v/>
      </c>
      <c r="D123" s="6">
        <f>IF(A123="","",MIN(B123,$B$6-C123))</f>
        <v/>
      </c>
      <c r="E123" s="6">
        <f>IF(A123="","",MAX(0,B123-D123))</f>
        <v/>
      </c>
      <c r="F123" s="6">
        <f>IF(A123="","",C123+D123)</f>
        <v/>
      </c>
    </row>
    <row r="124">
      <c r="A124" s="6">
        <f>IF(116&lt;=$B$5,116,"")</f>
        <v/>
      </c>
      <c r="B124" s="6">
        <f>IF(A124="","",E123)</f>
        <v/>
      </c>
      <c r="C124" s="6">
        <f>IF(A124="","",B124*$B$4/12)</f>
        <v/>
      </c>
      <c r="D124" s="6">
        <f>IF(A124="","",MIN(B124,$B$6-C124))</f>
        <v/>
      </c>
      <c r="E124" s="6">
        <f>IF(A124="","",MAX(0,B124-D124))</f>
        <v/>
      </c>
      <c r="F124" s="6">
        <f>IF(A124="","",C124+D124)</f>
        <v/>
      </c>
    </row>
    <row r="125">
      <c r="A125" s="6">
        <f>IF(117&lt;=$B$5,117,"")</f>
        <v/>
      </c>
      <c r="B125" s="6">
        <f>IF(A125="","",E124)</f>
        <v/>
      </c>
      <c r="C125" s="6">
        <f>IF(A125="","",B125*$B$4/12)</f>
        <v/>
      </c>
      <c r="D125" s="6">
        <f>IF(A125="","",MIN(B125,$B$6-C125))</f>
        <v/>
      </c>
      <c r="E125" s="6">
        <f>IF(A125="","",MAX(0,B125-D125))</f>
        <v/>
      </c>
      <c r="F125" s="6">
        <f>IF(A125="","",C125+D125)</f>
        <v/>
      </c>
    </row>
    <row r="126">
      <c r="A126" s="6">
        <f>IF(118&lt;=$B$5,118,"")</f>
        <v/>
      </c>
      <c r="B126" s="6">
        <f>IF(A126="","",E125)</f>
        <v/>
      </c>
      <c r="C126" s="6">
        <f>IF(A126="","",B126*$B$4/12)</f>
        <v/>
      </c>
      <c r="D126" s="6">
        <f>IF(A126="","",MIN(B126,$B$6-C126))</f>
        <v/>
      </c>
      <c r="E126" s="6">
        <f>IF(A126="","",MAX(0,B126-D126))</f>
        <v/>
      </c>
      <c r="F126" s="6">
        <f>IF(A126="","",C126+D126)</f>
        <v/>
      </c>
    </row>
    <row r="127">
      <c r="A127" s="6">
        <f>IF(119&lt;=$B$5,119,"")</f>
        <v/>
      </c>
      <c r="B127" s="6">
        <f>IF(A127="","",E126)</f>
        <v/>
      </c>
      <c r="C127" s="6">
        <f>IF(A127="","",B127*$B$4/12)</f>
        <v/>
      </c>
      <c r="D127" s="6">
        <f>IF(A127="","",MIN(B127,$B$6-C127))</f>
        <v/>
      </c>
      <c r="E127" s="6">
        <f>IF(A127="","",MAX(0,B127-D127))</f>
        <v/>
      </c>
      <c r="F127" s="6">
        <f>IF(A127="","",C127+D127)</f>
        <v/>
      </c>
    </row>
    <row r="128">
      <c r="A128" s="6">
        <f>IF(120&lt;=$B$5,120,"")</f>
        <v/>
      </c>
      <c r="B128" s="6">
        <f>IF(A128="","",E127)</f>
        <v/>
      </c>
      <c r="C128" s="6">
        <f>IF(A128="","",B128*$B$4/12)</f>
        <v/>
      </c>
      <c r="D128" s="6">
        <f>IF(A128="","",MIN(B128,$B$6-C128))</f>
        <v/>
      </c>
      <c r="E128" s="6">
        <f>IF(A128="","",MAX(0,B128-D128))</f>
        <v/>
      </c>
      <c r="F128" s="6">
        <f>IF(A128="","",C128+D128)</f>
        <v/>
      </c>
    </row>
    <row r="129">
      <c r="A129" s="6">
        <f>IF(121&lt;=$B$5,121,"")</f>
        <v/>
      </c>
      <c r="B129" s="6">
        <f>IF(A129="","",E128)</f>
        <v/>
      </c>
      <c r="C129" s="6">
        <f>IF(A129="","",B129*$B$4/12)</f>
        <v/>
      </c>
      <c r="D129" s="6">
        <f>IF(A129="","",MIN(B129,$B$6-C129))</f>
        <v/>
      </c>
      <c r="E129" s="6">
        <f>IF(A129="","",MAX(0,B129-D129))</f>
        <v/>
      </c>
      <c r="F129" s="6">
        <f>IF(A129="","",C129+D129)</f>
        <v/>
      </c>
    </row>
    <row r="130">
      <c r="A130" s="6">
        <f>IF(122&lt;=$B$5,122,"")</f>
        <v/>
      </c>
      <c r="B130" s="6">
        <f>IF(A130="","",E129)</f>
        <v/>
      </c>
      <c r="C130" s="6">
        <f>IF(A130="","",B130*$B$4/12)</f>
        <v/>
      </c>
      <c r="D130" s="6">
        <f>IF(A130="","",MIN(B130,$B$6-C130))</f>
        <v/>
      </c>
      <c r="E130" s="6">
        <f>IF(A130="","",MAX(0,B130-D130))</f>
        <v/>
      </c>
      <c r="F130" s="6">
        <f>IF(A130="","",C130+D130)</f>
        <v/>
      </c>
    </row>
    <row r="131">
      <c r="A131" s="6">
        <f>IF(123&lt;=$B$5,123,"")</f>
        <v/>
      </c>
      <c r="B131" s="6">
        <f>IF(A131="","",E130)</f>
        <v/>
      </c>
      <c r="C131" s="6">
        <f>IF(A131="","",B131*$B$4/12)</f>
        <v/>
      </c>
      <c r="D131" s="6">
        <f>IF(A131="","",MIN(B131,$B$6-C131))</f>
        <v/>
      </c>
      <c r="E131" s="6">
        <f>IF(A131="","",MAX(0,B131-D131))</f>
        <v/>
      </c>
      <c r="F131" s="6">
        <f>IF(A131="","",C131+D131)</f>
        <v/>
      </c>
    </row>
    <row r="132">
      <c r="A132" s="6">
        <f>IF(124&lt;=$B$5,124,"")</f>
        <v/>
      </c>
      <c r="B132" s="6">
        <f>IF(A132="","",E131)</f>
        <v/>
      </c>
      <c r="C132" s="6">
        <f>IF(A132="","",B132*$B$4/12)</f>
        <v/>
      </c>
      <c r="D132" s="6">
        <f>IF(A132="","",MIN(B132,$B$6-C132))</f>
        <v/>
      </c>
      <c r="E132" s="6">
        <f>IF(A132="","",MAX(0,B132-D132))</f>
        <v/>
      </c>
      <c r="F132" s="6">
        <f>IF(A132="","",C132+D132)</f>
        <v/>
      </c>
    </row>
    <row r="133">
      <c r="A133" s="6">
        <f>IF(125&lt;=$B$5,125,"")</f>
        <v/>
      </c>
      <c r="B133" s="6">
        <f>IF(A133="","",E132)</f>
        <v/>
      </c>
      <c r="C133" s="6">
        <f>IF(A133="","",B133*$B$4/12)</f>
        <v/>
      </c>
      <c r="D133" s="6">
        <f>IF(A133="","",MIN(B133,$B$6-C133))</f>
        <v/>
      </c>
      <c r="E133" s="6">
        <f>IF(A133="","",MAX(0,B133-D133))</f>
        <v/>
      </c>
      <c r="F133" s="6">
        <f>IF(A133="","",C133+D133)</f>
        <v/>
      </c>
    </row>
    <row r="134">
      <c r="A134" s="6">
        <f>IF(126&lt;=$B$5,126,"")</f>
        <v/>
      </c>
      <c r="B134" s="6">
        <f>IF(A134="","",E133)</f>
        <v/>
      </c>
      <c r="C134" s="6">
        <f>IF(A134="","",B134*$B$4/12)</f>
        <v/>
      </c>
      <c r="D134" s="6">
        <f>IF(A134="","",MIN(B134,$B$6-C134))</f>
        <v/>
      </c>
      <c r="E134" s="6">
        <f>IF(A134="","",MAX(0,B134-D134))</f>
        <v/>
      </c>
      <c r="F134" s="6">
        <f>IF(A134="","",C134+D134)</f>
        <v/>
      </c>
    </row>
    <row r="135">
      <c r="A135" s="6">
        <f>IF(127&lt;=$B$5,127,"")</f>
        <v/>
      </c>
      <c r="B135" s="6">
        <f>IF(A135="","",E134)</f>
        <v/>
      </c>
      <c r="C135" s="6">
        <f>IF(A135="","",B135*$B$4/12)</f>
        <v/>
      </c>
      <c r="D135" s="6">
        <f>IF(A135="","",MIN(B135,$B$6-C135))</f>
        <v/>
      </c>
      <c r="E135" s="6">
        <f>IF(A135="","",MAX(0,B135-D135))</f>
        <v/>
      </c>
      <c r="F135" s="6">
        <f>IF(A135="","",C135+D135)</f>
        <v/>
      </c>
    </row>
    <row r="136">
      <c r="A136" s="6">
        <f>IF(128&lt;=$B$5,128,"")</f>
        <v/>
      </c>
      <c r="B136" s="6">
        <f>IF(A136="","",E135)</f>
        <v/>
      </c>
      <c r="C136" s="6">
        <f>IF(A136="","",B136*$B$4/12)</f>
        <v/>
      </c>
      <c r="D136" s="6">
        <f>IF(A136="","",MIN(B136,$B$6-C136))</f>
        <v/>
      </c>
      <c r="E136" s="6">
        <f>IF(A136="","",MAX(0,B136-D136))</f>
        <v/>
      </c>
      <c r="F136" s="6">
        <f>IF(A136="","",C136+D136)</f>
        <v/>
      </c>
    </row>
    <row r="137">
      <c r="A137" s="6">
        <f>IF(129&lt;=$B$5,129,"")</f>
        <v/>
      </c>
      <c r="B137" s="6">
        <f>IF(A137="","",E136)</f>
        <v/>
      </c>
      <c r="C137" s="6">
        <f>IF(A137="","",B137*$B$4/12)</f>
        <v/>
      </c>
      <c r="D137" s="6">
        <f>IF(A137="","",MIN(B137,$B$6-C137))</f>
        <v/>
      </c>
      <c r="E137" s="6">
        <f>IF(A137="","",MAX(0,B137-D137))</f>
        <v/>
      </c>
      <c r="F137" s="6">
        <f>IF(A137="","",C137+D137)</f>
        <v/>
      </c>
    </row>
    <row r="138">
      <c r="A138" s="6">
        <f>IF(130&lt;=$B$5,130,"")</f>
        <v/>
      </c>
      <c r="B138" s="6">
        <f>IF(A138="","",E137)</f>
        <v/>
      </c>
      <c r="C138" s="6">
        <f>IF(A138="","",B138*$B$4/12)</f>
        <v/>
      </c>
      <c r="D138" s="6">
        <f>IF(A138="","",MIN(B138,$B$6-C138))</f>
        <v/>
      </c>
      <c r="E138" s="6">
        <f>IF(A138="","",MAX(0,B138-D138))</f>
        <v/>
      </c>
      <c r="F138" s="6">
        <f>IF(A138="","",C138+D138)</f>
        <v/>
      </c>
    </row>
    <row r="139">
      <c r="A139" s="6">
        <f>IF(131&lt;=$B$5,131,"")</f>
        <v/>
      </c>
      <c r="B139" s="6">
        <f>IF(A139="","",E138)</f>
        <v/>
      </c>
      <c r="C139" s="6">
        <f>IF(A139="","",B139*$B$4/12)</f>
        <v/>
      </c>
      <c r="D139" s="6">
        <f>IF(A139="","",MIN(B139,$B$6-C139))</f>
        <v/>
      </c>
      <c r="E139" s="6">
        <f>IF(A139="","",MAX(0,B139-D139))</f>
        <v/>
      </c>
      <c r="F139" s="6">
        <f>IF(A139="","",C139+D139)</f>
        <v/>
      </c>
    </row>
    <row r="140">
      <c r="A140" s="6">
        <f>IF(132&lt;=$B$5,132,"")</f>
        <v/>
      </c>
      <c r="B140" s="6">
        <f>IF(A140="","",E139)</f>
        <v/>
      </c>
      <c r="C140" s="6">
        <f>IF(A140="","",B140*$B$4/12)</f>
        <v/>
      </c>
      <c r="D140" s="6">
        <f>IF(A140="","",MIN(B140,$B$6-C140))</f>
        <v/>
      </c>
      <c r="E140" s="6">
        <f>IF(A140="","",MAX(0,B140-D140))</f>
        <v/>
      </c>
      <c r="F140" s="6">
        <f>IF(A140="","",C140+D140)</f>
        <v/>
      </c>
    </row>
    <row r="141">
      <c r="A141" s="6">
        <f>IF(133&lt;=$B$5,133,"")</f>
        <v/>
      </c>
      <c r="B141" s="6">
        <f>IF(A141="","",E140)</f>
        <v/>
      </c>
      <c r="C141" s="6">
        <f>IF(A141="","",B141*$B$4/12)</f>
        <v/>
      </c>
      <c r="D141" s="6">
        <f>IF(A141="","",MIN(B141,$B$6-C141))</f>
        <v/>
      </c>
      <c r="E141" s="6">
        <f>IF(A141="","",MAX(0,B141-D141))</f>
        <v/>
      </c>
      <c r="F141" s="6">
        <f>IF(A141="","",C141+D141)</f>
        <v/>
      </c>
    </row>
    <row r="142">
      <c r="A142" s="6">
        <f>IF(134&lt;=$B$5,134,"")</f>
        <v/>
      </c>
      <c r="B142" s="6">
        <f>IF(A142="","",E141)</f>
        <v/>
      </c>
      <c r="C142" s="6">
        <f>IF(A142="","",B142*$B$4/12)</f>
        <v/>
      </c>
      <c r="D142" s="6">
        <f>IF(A142="","",MIN(B142,$B$6-C142))</f>
        <v/>
      </c>
      <c r="E142" s="6">
        <f>IF(A142="","",MAX(0,B142-D142))</f>
        <v/>
      </c>
      <c r="F142" s="6">
        <f>IF(A142="","",C142+D142)</f>
        <v/>
      </c>
    </row>
    <row r="143">
      <c r="A143" s="6">
        <f>IF(135&lt;=$B$5,135,"")</f>
        <v/>
      </c>
      <c r="B143" s="6">
        <f>IF(A143="","",E142)</f>
        <v/>
      </c>
      <c r="C143" s="6">
        <f>IF(A143="","",B143*$B$4/12)</f>
        <v/>
      </c>
      <c r="D143" s="6">
        <f>IF(A143="","",MIN(B143,$B$6-C143))</f>
        <v/>
      </c>
      <c r="E143" s="6">
        <f>IF(A143="","",MAX(0,B143-D143))</f>
        <v/>
      </c>
      <c r="F143" s="6">
        <f>IF(A143="","",C143+D143)</f>
        <v/>
      </c>
    </row>
    <row r="144">
      <c r="A144" s="6">
        <f>IF(136&lt;=$B$5,136,"")</f>
        <v/>
      </c>
      <c r="B144" s="6">
        <f>IF(A144="","",E143)</f>
        <v/>
      </c>
      <c r="C144" s="6">
        <f>IF(A144="","",B144*$B$4/12)</f>
        <v/>
      </c>
      <c r="D144" s="6">
        <f>IF(A144="","",MIN(B144,$B$6-C144))</f>
        <v/>
      </c>
      <c r="E144" s="6">
        <f>IF(A144="","",MAX(0,B144-D144))</f>
        <v/>
      </c>
      <c r="F144" s="6">
        <f>IF(A144="","",C144+D144)</f>
        <v/>
      </c>
    </row>
    <row r="145">
      <c r="A145" s="6">
        <f>IF(137&lt;=$B$5,137,"")</f>
        <v/>
      </c>
      <c r="B145" s="6">
        <f>IF(A145="","",E144)</f>
        <v/>
      </c>
      <c r="C145" s="6">
        <f>IF(A145="","",B145*$B$4/12)</f>
        <v/>
      </c>
      <c r="D145" s="6">
        <f>IF(A145="","",MIN(B145,$B$6-C145))</f>
        <v/>
      </c>
      <c r="E145" s="6">
        <f>IF(A145="","",MAX(0,B145-D145))</f>
        <v/>
      </c>
      <c r="F145" s="6">
        <f>IF(A145="","",C145+D145)</f>
        <v/>
      </c>
    </row>
    <row r="146">
      <c r="A146" s="6">
        <f>IF(138&lt;=$B$5,138,"")</f>
        <v/>
      </c>
      <c r="B146" s="6">
        <f>IF(A146="","",E145)</f>
        <v/>
      </c>
      <c r="C146" s="6">
        <f>IF(A146="","",B146*$B$4/12)</f>
        <v/>
      </c>
      <c r="D146" s="6">
        <f>IF(A146="","",MIN(B146,$B$6-C146))</f>
        <v/>
      </c>
      <c r="E146" s="6">
        <f>IF(A146="","",MAX(0,B146-D146))</f>
        <v/>
      </c>
      <c r="F146" s="6">
        <f>IF(A146="","",C146+D146)</f>
        <v/>
      </c>
    </row>
    <row r="147">
      <c r="A147" s="6">
        <f>IF(139&lt;=$B$5,139,"")</f>
        <v/>
      </c>
      <c r="B147" s="6">
        <f>IF(A147="","",E146)</f>
        <v/>
      </c>
      <c r="C147" s="6">
        <f>IF(A147="","",B147*$B$4/12)</f>
        <v/>
      </c>
      <c r="D147" s="6">
        <f>IF(A147="","",MIN(B147,$B$6-C147))</f>
        <v/>
      </c>
      <c r="E147" s="6">
        <f>IF(A147="","",MAX(0,B147-D147))</f>
        <v/>
      </c>
      <c r="F147" s="6">
        <f>IF(A147="","",C147+D147)</f>
        <v/>
      </c>
    </row>
    <row r="148">
      <c r="A148" s="6">
        <f>IF(140&lt;=$B$5,140,"")</f>
        <v/>
      </c>
      <c r="B148" s="6">
        <f>IF(A148="","",E147)</f>
        <v/>
      </c>
      <c r="C148" s="6">
        <f>IF(A148="","",B148*$B$4/12)</f>
        <v/>
      </c>
      <c r="D148" s="6">
        <f>IF(A148="","",MIN(B148,$B$6-C148))</f>
        <v/>
      </c>
      <c r="E148" s="6">
        <f>IF(A148="","",MAX(0,B148-D148))</f>
        <v/>
      </c>
      <c r="F148" s="6">
        <f>IF(A148="","",C148+D148)</f>
        <v/>
      </c>
    </row>
    <row r="149">
      <c r="A149" s="6">
        <f>IF(141&lt;=$B$5,141,"")</f>
        <v/>
      </c>
      <c r="B149" s="6">
        <f>IF(A149="","",E148)</f>
        <v/>
      </c>
      <c r="C149" s="6">
        <f>IF(A149="","",B149*$B$4/12)</f>
        <v/>
      </c>
      <c r="D149" s="6">
        <f>IF(A149="","",MIN(B149,$B$6-C149))</f>
        <v/>
      </c>
      <c r="E149" s="6">
        <f>IF(A149="","",MAX(0,B149-D149))</f>
        <v/>
      </c>
      <c r="F149" s="6">
        <f>IF(A149="","",C149+D149)</f>
        <v/>
      </c>
    </row>
    <row r="150">
      <c r="A150" s="6">
        <f>IF(142&lt;=$B$5,142,"")</f>
        <v/>
      </c>
      <c r="B150" s="6">
        <f>IF(A150="","",E149)</f>
        <v/>
      </c>
      <c r="C150" s="6">
        <f>IF(A150="","",B150*$B$4/12)</f>
        <v/>
      </c>
      <c r="D150" s="6">
        <f>IF(A150="","",MIN(B150,$B$6-C150))</f>
        <v/>
      </c>
      <c r="E150" s="6">
        <f>IF(A150="","",MAX(0,B150-D150))</f>
        <v/>
      </c>
      <c r="F150" s="6">
        <f>IF(A150="","",C150+D150)</f>
        <v/>
      </c>
    </row>
    <row r="151">
      <c r="A151" s="6">
        <f>IF(143&lt;=$B$5,143,"")</f>
        <v/>
      </c>
      <c r="B151" s="6">
        <f>IF(A151="","",E150)</f>
        <v/>
      </c>
      <c r="C151" s="6">
        <f>IF(A151="","",B151*$B$4/12)</f>
        <v/>
      </c>
      <c r="D151" s="6">
        <f>IF(A151="","",MIN(B151,$B$6-C151))</f>
        <v/>
      </c>
      <c r="E151" s="6">
        <f>IF(A151="","",MAX(0,B151-D151))</f>
        <v/>
      </c>
      <c r="F151" s="6">
        <f>IF(A151="","",C151+D151)</f>
        <v/>
      </c>
    </row>
    <row r="152">
      <c r="A152" s="6">
        <f>IF(144&lt;=$B$5,144,"")</f>
        <v/>
      </c>
      <c r="B152" s="6">
        <f>IF(A152="","",E151)</f>
        <v/>
      </c>
      <c r="C152" s="6">
        <f>IF(A152="","",B152*$B$4/12)</f>
        <v/>
      </c>
      <c r="D152" s="6">
        <f>IF(A152="","",MIN(B152,$B$6-C152))</f>
        <v/>
      </c>
      <c r="E152" s="6">
        <f>IF(A152="","",MAX(0,B152-D152))</f>
        <v/>
      </c>
      <c r="F152" s="6">
        <f>IF(A152="","",C152+D152)</f>
        <v/>
      </c>
    </row>
    <row r="153">
      <c r="A153" s="6">
        <f>IF(145&lt;=$B$5,145,"")</f>
        <v/>
      </c>
      <c r="B153" s="6">
        <f>IF(A153="","",E152)</f>
        <v/>
      </c>
      <c r="C153" s="6">
        <f>IF(A153="","",B153*$B$4/12)</f>
        <v/>
      </c>
      <c r="D153" s="6">
        <f>IF(A153="","",MIN(B153,$B$6-C153))</f>
        <v/>
      </c>
      <c r="E153" s="6">
        <f>IF(A153="","",MAX(0,B153-D153))</f>
        <v/>
      </c>
      <c r="F153" s="6">
        <f>IF(A153="","",C153+D153)</f>
        <v/>
      </c>
    </row>
    <row r="154">
      <c r="A154" s="6">
        <f>IF(146&lt;=$B$5,146,"")</f>
        <v/>
      </c>
      <c r="B154" s="6">
        <f>IF(A154="","",E153)</f>
        <v/>
      </c>
      <c r="C154" s="6">
        <f>IF(A154="","",B154*$B$4/12)</f>
        <v/>
      </c>
      <c r="D154" s="6">
        <f>IF(A154="","",MIN(B154,$B$6-C154))</f>
        <v/>
      </c>
      <c r="E154" s="6">
        <f>IF(A154="","",MAX(0,B154-D154))</f>
        <v/>
      </c>
      <c r="F154" s="6">
        <f>IF(A154="","",C154+D154)</f>
        <v/>
      </c>
    </row>
    <row r="155">
      <c r="A155" s="6">
        <f>IF(147&lt;=$B$5,147,"")</f>
        <v/>
      </c>
      <c r="B155" s="6">
        <f>IF(A155="","",E154)</f>
        <v/>
      </c>
      <c r="C155" s="6">
        <f>IF(A155="","",B155*$B$4/12)</f>
        <v/>
      </c>
      <c r="D155" s="6">
        <f>IF(A155="","",MIN(B155,$B$6-C155))</f>
        <v/>
      </c>
      <c r="E155" s="6">
        <f>IF(A155="","",MAX(0,B155-D155))</f>
        <v/>
      </c>
      <c r="F155" s="6">
        <f>IF(A155="","",C155+D155)</f>
        <v/>
      </c>
    </row>
    <row r="156">
      <c r="A156" s="6">
        <f>IF(148&lt;=$B$5,148,"")</f>
        <v/>
      </c>
      <c r="B156" s="6">
        <f>IF(A156="","",E155)</f>
        <v/>
      </c>
      <c r="C156" s="6">
        <f>IF(A156="","",B156*$B$4/12)</f>
        <v/>
      </c>
      <c r="D156" s="6">
        <f>IF(A156="","",MIN(B156,$B$6-C156))</f>
        <v/>
      </c>
      <c r="E156" s="6">
        <f>IF(A156="","",MAX(0,B156-D156))</f>
        <v/>
      </c>
      <c r="F156" s="6">
        <f>IF(A156="","",C156+D156)</f>
        <v/>
      </c>
    </row>
    <row r="157">
      <c r="A157" s="6">
        <f>IF(149&lt;=$B$5,149,"")</f>
        <v/>
      </c>
      <c r="B157" s="6">
        <f>IF(A157="","",E156)</f>
        <v/>
      </c>
      <c r="C157" s="6">
        <f>IF(A157="","",B157*$B$4/12)</f>
        <v/>
      </c>
      <c r="D157" s="6">
        <f>IF(A157="","",MIN(B157,$B$6-C157))</f>
        <v/>
      </c>
      <c r="E157" s="6">
        <f>IF(A157="","",MAX(0,B157-D157))</f>
        <v/>
      </c>
      <c r="F157" s="6">
        <f>IF(A157="","",C157+D157)</f>
        <v/>
      </c>
    </row>
    <row r="158">
      <c r="A158" s="6">
        <f>IF(150&lt;=$B$5,150,"")</f>
        <v/>
      </c>
      <c r="B158" s="6">
        <f>IF(A158="","",E157)</f>
        <v/>
      </c>
      <c r="C158" s="6">
        <f>IF(A158="","",B158*$B$4/12)</f>
        <v/>
      </c>
      <c r="D158" s="6">
        <f>IF(A158="","",MIN(B158,$B$6-C158))</f>
        <v/>
      </c>
      <c r="E158" s="6">
        <f>IF(A158="","",MAX(0,B158-D158))</f>
        <v/>
      </c>
      <c r="F158" s="6">
        <f>IF(A158="","",C158+D158)</f>
        <v/>
      </c>
    </row>
    <row r="159">
      <c r="A159" s="6">
        <f>IF(151&lt;=$B$5,151,"")</f>
        <v/>
      </c>
      <c r="B159" s="6">
        <f>IF(A159="","",E158)</f>
        <v/>
      </c>
      <c r="C159" s="6">
        <f>IF(A159="","",B159*$B$4/12)</f>
        <v/>
      </c>
      <c r="D159" s="6">
        <f>IF(A159="","",MIN(B159,$B$6-C159))</f>
        <v/>
      </c>
      <c r="E159" s="6">
        <f>IF(A159="","",MAX(0,B159-D159))</f>
        <v/>
      </c>
      <c r="F159" s="6">
        <f>IF(A159="","",C159+D159)</f>
        <v/>
      </c>
    </row>
    <row r="160">
      <c r="A160" s="6">
        <f>IF(152&lt;=$B$5,152,"")</f>
        <v/>
      </c>
      <c r="B160" s="6">
        <f>IF(A160="","",E159)</f>
        <v/>
      </c>
      <c r="C160" s="6">
        <f>IF(A160="","",B160*$B$4/12)</f>
        <v/>
      </c>
      <c r="D160" s="6">
        <f>IF(A160="","",MIN(B160,$B$6-C160))</f>
        <v/>
      </c>
      <c r="E160" s="6">
        <f>IF(A160="","",MAX(0,B160-D160))</f>
        <v/>
      </c>
      <c r="F160" s="6">
        <f>IF(A160="","",C160+D160)</f>
        <v/>
      </c>
    </row>
    <row r="161">
      <c r="A161" s="6">
        <f>IF(153&lt;=$B$5,153,"")</f>
        <v/>
      </c>
      <c r="B161" s="6">
        <f>IF(A161="","",E160)</f>
        <v/>
      </c>
      <c r="C161" s="6">
        <f>IF(A161="","",B161*$B$4/12)</f>
        <v/>
      </c>
      <c r="D161" s="6">
        <f>IF(A161="","",MIN(B161,$B$6-C161))</f>
        <v/>
      </c>
      <c r="E161" s="6">
        <f>IF(A161="","",MAX(0,B161-D161))</f>
        <v/>
      </c>
      <c r="F161" s="6">
        <f>IF(A161="","",C161+D161)</f>
        <v/>
      </c>
    </row>
    <row r="162">
      <c r="A162" s="6">
        <f>IF(154&lt;=$B$5,154,"")</f>
        <v/>
      </c>
      <c r="B162" s="6">
        <f>IF(A162="","",E161)</f>
        <v/>
      </c>
      <c r="C162" s="6">
        <f>IF(A162="","",B162*$B$4/12)</f>
        <v/>
      </c>
      <c r="D162" s="6">
        <f>IF(A162="","",MIN(B162,$B$6-C162))</f>
        <v/>
      </c>
      <c r="E162" s="6">
        <f>IF(A162="","",MAX(0,B162-D162))</f>
        <v/>
      </c>
      <c r="F162" s="6">
        <f>IF(A162="","",C162+D162)</f>
        <v/>
      </c>
    </row>
    <row r="163">
      <c r="A163" s="6">
        <f>IF(155&lt;=$B$5,155,"")</f>
        <v/>
      </c>
      <c r="B163" s="6">
        <f>IF(A163="","",E162)</f>
        <v/>
      </c>
      <c r="C163" s="6">
        <f>IF(A163="","",B163*$B$4/12)</f>
        <v/>
      </c>
      <c r="D163" s="6">
        <f>IF(A163="","",MIN(B163,$B$6-C163))</f>
        <v/>
      </c>
      <c r="E163" s="6">
        <f>IF(A163="","",MAX(0,B163-D163))</f>
        <v/>
      </c>
      <c r="F163" s="6">
        <f>IF(A163="","",C163+D163)</f>
        <v/>
      </c>
    </row>
    <row r="164">
      <c r="A164" s="6">
        <f>IF(156&lt;=$B$5,156,"")</f>
        <v/>
      </c>
      <c r="B164" s="6">
        <f>IF(A164="","",E163)</f>
        <v/>
      </c>
      <c r="C164" s="6">
        <f>IF(A164="","",B164*$B$4/12)</f>
        <v/>
      </c>
      <c r="D164" s="6">
        <f>IF(A164="","",MIN(B164,$B$6-C164))</f>
        <v/>
      </c>
      <c r="E164" s="6">
        <f>IF(A164="","",MAX(0,B164-D164))</f>
        <v/>
      </c>
      <c r="F164" s="6">
        <f>IF(A164="","",C164+D164)</f>
        <v/>
      </c>
    </row>
    <row r="165">
      <c r="A165" s="6">
        <f>IF(157&lt;=$B$5,157,"")</f>
        <v/>
      </c>
      <c r="B165" s="6">
        <f>IF(A165="","",E164)</f>
        <v/>
      </c>
      <c r="C165" s="6">
        <f>IF(A165="","",B165*$B$4/12)</f>
        <v/>
      </c>
      <c r="D165" s="6">
        <f>IF(A165="","",MIN(B165,$B$6-C165))</f>
        <v/>
      </c>
      <c r="E165" s="6">
        <f>IF(A165="","",MAX(0,B165-D165))</f>
        <v/>
      </c>
      <c r="F165" s="6">
        <f>IF(A165="","",C165+D165)</f>
        <v/>
      </c>
    </row>
    <row r="166">
      <c r="A166" s="6">
        <f>IF(158&lt;=$B$5,158,"")</f>
        <v/>
      </c>
      <c r="B166" s="6">
        <f>IF(A166="","",E165)</f>
        <v/>
      </c>
      <c r="C166" s="6">
        <f>IF(A166="","",B166*$B$4/12)</f>
        <v/>
      </c>
      <c r="D166" s="6">
        <f>IF(A166="","",MIN(B166,$B$6-C166))</f>
        <v/>
      </c>
      <c r="E166" s="6">
        <f>IF(A166="","",MAX(0,B166-D166))</f>
        <v/>
      </c>
      <c r="F166" s="6">
        <f>IF(A166="","",C166+D166)</f>
        <v/>
      </c>
    </row>
    <row r="167">
      <c r="A167" s="6">
        <f>IF(159&lt;=$B$5,159,"")</f>
        <v/>
      </c>
      <c r="B167" s="6">
        <f>IF(A167="","",E166)</f>
        <v/>
      </c>
      <c r="C167" s="6">
        <f>IF(A167="","",B167*$B$4/12)</f>
        <v/>
      </c>
      <c r="D167" s="6">
        <f>IF(A167="","",MIN(B167,$B$6-C167))</f>
        <v/>
      </c>
      <c r="E167" s="6">
        <f>IF(A167="","",MAX(0,B167-D167))</f>
        <v/>
      </c>
      <c r="F167" s="6">
        <f>IF(A167="","",C167+D167)</f>
        <v/>
      </c>
    </row>
    <row r="168">
      <c r="A168" s="6">
        <f>IF(160&lt;=$B$5,160,"")</f>
        <v/>
      </c>
      <c r="B168" s="6">
        <f>IF(A168="","",E167)</f>
        <v/>
      </c>
      <c r="C168" s="6">
        <f>IF(A168="","",B168*$B$4/12)</f>
        <v/>
      </c>
      <c r="D168" s="6">
        <f>IF(A168="","",MIN(B168,$B$6-C168))</f>
        <v/>
      </c>
      <c r="E168" s="6">
        <f>IF(A168="","",MAX(0,B168-D168))</f>
        <v/>
      </c>
      <c r="F168" s="6">
        <f>IF(A168="","",C168+D168)</f>
        <v/>
      </c>
    </row>
    <row r="169">
      <c r="A169" s="6">
        <f>IF(161&lt;=$B$5,161,"")</f>
        <v/>
      </c>
      <c r="B169" s="6">
        <f>IF(A169="","",E168)</f>
        <v/>
      </c>
      <c r="C169" s="6">
        <f>IF(A169="","",B169*$B$4/12)</f>
        <v/>
      </c>
      <c r="D169" s="6">
        <f>IF(A169="","",MIN(B169,$B$6-C169))</f>
        <v/>
      </c>
      <c r="E169" s="6">
        <f>IF(A169="","",MAX(0,B169-D169))</f>
        <v/>
      </c>
      <c r="F169" s="6">
        <f>IF(A169="","",C169+D169)</f>
        <v/>
      </c>
    </row>
    <row r="170">
      <c r="A170" s="6">
        <f>IF(162&lt;=$B$5,162,"")</f>
        <v/>
      </c>
      <c r="B170" s="6">
        <f>IF(A170="","",E169)</f>
        <v/>
      </c>
      <c r="C170" s="6">
        <f>IF(A170="","",B170*$B$4/12)</f>
        <v/>
      </c>
      <c r="D170" s="6">
        <f>IF(A170="","",MIN(B170,$B$6-C170))</f>
        <v/>
      </c>
      <c r="E170" s="6">
        <f>IF(A170="","",MAX(0,B170-D170))</f>
        <v/>
      </c>
      <c r="F170" s="6">
        <f>IF(A170="","",C170+D170)</f>
        <v/>
      </c>
    </row>
    <row r="171">
      <c r="A171" s="6">
        <f>IF(163&lt;=$B$5,163,"")</f>
        <v/>
      </c>
      <c r="B171" s="6">
        <f>IF(A171="","",E170)</f>
        <v/>
      </c>
      <c r="C171" s="6">
        <f>IF(A171="","",B171*$B$4/12)</f>
        <v/>
      </c>
      <c r="D171" s="6">
        <f>IF(A171="","",MIN(B171,$B$6-C171))</f>
        <v/>
      </c>
      <c r="E171" s="6">
        <f>IF(A171="","",MAX(0,B171-D171))</f>
        <v/>
      </c>
      <c r="F171" s="6">
        <f>IF(A171="","",C171+D171)</f>
        <v/>
      </c>
    </row>
    <row r="172">
      <c r="A172" s="6">
        <f>IF(164&lt;=$B$5,164,"")</f>
        <v/>
      </c>
      <c r="B172" s="6">
        <f>IF(A172="","",E171)</f>
        <v/>
      </c>
      <c r="C172" s="6">
        <f>IF(A172="","",B172*$B$4/12)</f>
        <v/>
      </c>
      <c r="D172" s="6">
        <f>IF(A172="","",MIN(B172,$B$6-C172))</f>
        <v/>
      </c>
      <c r="E172" s="6">
        <f>IF(A172="","",MAX(0,B172-D172))</f>
        <v/>
      </c>
      <c r="F172" s="6">
        <f>IF(A172="","",C172+D172)</f>
        <v/>
      </c>
    </row>
    <row r="173">
      <c r="A173" s="6">
        <f>IF(165&lt;=$B$5,165,"")</f>
        <v/>
      </c>
      <c r="B173" s="6">
        <f>IF(A173="","",E172)</f>
        <v/>
      </c>
      <c r="C173" s="6">
        <f>IF(A173="","",B173*$B$4/12)</f>
        <v/>
      </c>
      <c r="D173" s="6">
        <f>IF(A173="","",MIN(B173,$B$6-C173))</f>
        <v/>
      </c>
      <c r="E173" s="6">
        <f>IF(A173="","",MAX(0,B173-D173))</f>
        <v/>
      </c>
      <c r="F173" s="6">
        <f>IF(A173="","",C173+D173)</f>
        <v/>
      </c>
    </row>
    <row r="174">
      <c r="A174" s="6">
        <f>IF(166&lt;=$B$5,166,"")</f>
        <v/>
      </c>
      <c r="B174" s="6">
        <f>IF(A174="","",E173)</f>
        <v/>
      </c>
      <c r="C174" s="6">
        <f>IF(A174="","",B174*$B$4/12)</f>
        <v/>
      </c>
      <c r="D174" s="6">
        <f>IF(A174="","",MIN(B174,$B$6-C174))</f>
        <v/>
      </c>
      <c r="E174" s="6">
        <f>IF(A174="","",MAX(0,B174-D174))</f>
        <v/>
      </c>
      <c r="F174" s="6">
        <f>IF(A174="","",C174+D174)</f>
        <v/>
      </c>
    </row>
    <row r="175">
      <c r="A175" s="6">
        <f>IF(167&lt;=$B$5,167,"")</f>
        <v/>
      </c>
      <c r="B175" s="6">
        <f>IF(A175="","",E174)</f>
        <v/>
      </c>
      <c r="C175" s="6">
        <f>IF(A175="","",B175*$B$4/12)</f>
        <v/>
      </c>
      <c r="D175" s="6">
        <f>IF(A175="","",MIN(B175,$B$6-C175))</f>
        <v/>
      </c>
      <c r="E175" s="6">
        <f>IF(A175="","",MAX(0,B175-D175))</f>
        <v/>
      </c>
      <c r="F175" s="6">
        <f>IF(A175="","",C175+D175)</f>
        <v/>
      </c>
    </row>
    <row r="176">
      <c r="A176" s="6">
        <f>IF(168&lt;=$B$5,168,"")</f>
        <v/>
      </c>
      <c r="B176" s="6">
        <f>IF(A176="","",E175)</f>
        <v/>
      </c>
      <c r="C176" s="6">
        <f>IF(A176="","",B176*$B$4/12)</f>
        <v/>
      </c>
      <c r="D176" s="6">
        <f>IF(A176="","",MIN(B176,$B$6-C176))</f>
        <v/>
      </c>
      <c r="E176" s="6">
        <f>IF(A176="","",MAX(0,B176-D176))</f>
        <v/>
      </c>
      <c r="F176" s="6">
        <f>IF(A176="","",C176+D176)</f>
        <v/>
      </c>
    </row>
    <row r="177">
      <c r="A177" s="6">
        <f>IF(169&lt;=$B$5,169,"")</f>
        <v/>
      </c>
      <c r="B177" s="6">
        <f>IF(A177="","",E176)</f>
        <v/>
      </c>
      <c r="C177" s="6">
        <f>IF(A177="","",B177*$B$4/12)</f>
        <v/>
      </c>
      <c r="D177" s="6">
        <f>IF(A177="","",MIN(B177,$B$6-C177))</f>
        <v/>
      </c>
      <c r="E177" s="6">
        <f>IF(A177="","",MAX(0,B177-D177))</f>
        <v/>
      </c>
      <c r="F177" s="6">
        <f>IF(A177="","",C177+D177)</f>
        <v/>
      </c>
    </row>
    <row r="178">
      <c r="A178" s="6">
        <f>IF(170&lt;=$B$5,170,"")</f>
        <v/>
      </c>
      <c r="B178" s="6">
        <f>IF(A178="","",E177)</f>
        <v/>
      </c>
      <c r="C178" s="6">
        <f>IF(A178="","",B178*$B$4/12)</f>
        <v/>
      </c>
      <c r="D178" s="6">
        <f>IF(A178="","",MIN(B178,$B$6-C178))</f>
        <v/>
      </c>
      <c r="E178" s="6">
        <f>IF(A178="","",MAX(0,B178-D178))</f>
        <v/>
      </c>
      <c r="F178" s="6">
        <f>IF(A178="","",C178+D178)</f>
        <v/>
      </c>
    </row>
    <row r="179">
      <c r="A179" s="6">
        <f>IF(171&lt;=$B$5,171,"")</f>
        <v/>
      </c>
      <c r="B179" s="6">
        <f>IF(A179="","",E178)</f>
        <v/>
      </c>
      <c r="C179" s="6">
        <f>IF(A179="","",B179*$B$4/12)</f>
        <v/>
      </c>
      <c r="D179" s="6">
        <f>IF(A179="","",MIN(B179,$B$6-C179))</f>
        <v/>
      </c>
      <c r="E179" s="6">
        <f>IF(A179="","",MAX(0,B179-D179))</f>
        <v/>
      </c>
      <c r="F179" s="6">
        <f>IF(A179="","",C179+D179)</f>
        <v/>
      </c>
    </row>
    <row r="180">
      <c r="A180" s="6">
        <f>IF(172&lt;=$B$5,172,"")</f>
        <v/>
      </c>
      <c r="B180" s="6">
        <f>IF(A180="","",E179)</f>
        <v/>
      </c>
      <c r="C180" s="6">
        <f>IF(A180="","",B180*$B$4/12)</f>
        <v/>
      </c>
      <c r="D180" s="6">
        <f>IF(A180="","",MIN(B180,$B$6-C180))</f>
        <v/>
      </c>
      <c r="E180" s="6">
        <f>IF(A180="","",MAX(0,B180-D180))</f>
        <v/>
      </c>
      <c r="F180" s="6">
        <f>IF(A180="","",C180+D180)</f>
        <v/>
      </c>
    </row>
    <row r="181">
      <c r="A181" s="6">
        <f>IF(173&lt;=$B$5,173,"")</f>
        <v/>
      </c>
      <c r="B181" s="6">
        <f>IF(A181="","",E180)</f>
        <v/>
      </c>
      <c r="C181" s="6">
        <f>IF(A181="","",B181*$B$4/12)</f>
        <v/>
      </c>
      <c r="D181" s="6">
        <f>IF(A181="","",MIN(B181,$B$6-C181))</f>
        <v/>
      </c>
      <c r="E181" s="6">
        <f>IF(A181="","",MAX(0,B181-D181))</f>
        <v/>
      </c>
      <c r="F181" s="6">
        <f>IF(A181="","",C181+D181)</f>
        <v/>
      </c>
    </row>
    <row r="182">
      <c r="A182" s="6">
        <f>IF(174&lt;=$B$5,174,"")</f>
        <v/>
      </c>
      <c r="B182" s="6">
        <f>IF(A182="","",E181)</f>
        <v/>
      </c>
      <c r="C182" s="6">
        <f>IF(A182="","",B182*$B$4/12)</f>
        <v/>
      </c>
      <c r="D182" s="6">
        <f>IF(A182="","",MIN(B182,$B$6-C182))</f>
        <v/>
      </c>
      <c r="E182" s="6">
        <f>IF(A182="","",MAX(0,B182-D182))</f>
        <v/>
      </c>
      <c r="F182" s="6">
        <f>IF(A182="","",C182+D182)</f>
        <v/>
      </c>
    </row>
    <row r="183">
      <c r="A183" s="6">
        <f>IF(175&lt;=$B$5,175,"")</f>
        <v/>
      </c>
      <c r="B183" s="6">
        <f>IF(A183="","",E182)</f>
        <v/>
      </c>
      <c r="C183" s="6">
        <f>IF(A183="","",B183*$B$4/12)</f>
        <v/>
      </c>
      <c r="D183" s="6">
        <f>IF(A183="","",MIN(B183,$B$6-C183))</f>
        <v/>
      </c>
      <c r="E183" s="6">
        <f>IF(A183="","",MAX(0,B183-D183))</f>
        <v/>
      </c>
      <c r="F183" s="6">
        <f>IF(A183="","",C183+D183)</f>
        <v/>
      </c>
    </row>
    <row r="184">
      <c r="A184" s="6">
        <f>IF(176&lt;=$B$5,176,"")</f>
        <v/>
      </c>
      <c r="B184" s="6">
        <f>IF(A184="","",E183)</f>
        <v/>
      </c>
      <c r="C184" s="6">
        <f>IF(A184="","",B184*$B$4/12)</f>
        <v/>
      </c>
      <c r="D184" s="6">
        <f>IF(A184="","",MIN(B184,$B$6-C184))</f>
        <v/>
      </c>
      <c r="E184" s="6">
        <f>IF(A184="","",MAX(0,B184-D184))</f>
        <v/>
      </c>
      <c r="F184" s="6">
        <f>IF(A184="","",C184+D184)</f>
        <v/>
      </c>
    </row>
    <row r="185">
      <c r="A185" s="6">
        <f>IF(177&lt;=$B$5,177,"")</f>
        <v/>
      </c>
      <c r="B185" s="6">
        <f>IF(A185="","",E184)</f>
        <v/>
      </c>
      <c r="C185" s="6">
        <f>IF(A185="","",B185*$B$4/12)</f>
        <v/>
      </c>
      <c r="D185" s="6">
        <f>IF(A185="","",MIN(B185,$B$6-C185))</f>
        <v/>
      </c>
      <c r="E185" s="6">
        <f>IF(A185="","",MAX(0,B185-D185))</f>
        <v/>
      </c>
      <c r="F185" s="6">
        <f>IF(A185="","",C185+D185)</f>
        <v/>
      </c>
    </row>
    <row r="186">
      <c r="A186" s="6">
        <f>IF(178&lt;=$B$5,178,"")</f>
        <v/>
      </c>
      <c r="B186" s="6">
        <f>IF(A186="","",E185)</f>
        <v/>
      </c>
      <c r="C186" s="6">
        <f>IF(A186="","",B186*$B$4/12)</f>
        <v/>
      </c>
      <c r="D186" s="6">
        <f>IF(A186="","",MIN(B186,$B$6-C186))</f>
        <v/>
      </c>
      <c r="E186" s="6">
        <f>IF(A186="","",MAX(0,B186-D186))</f>
        <v/>
      </c>
      <c r="F186" s="6">
        <f>IF(A186="","",C186+D186)</f>
        <v/>
      </c>
    </row>
    <row r="187">
      <c r="A187" s="6">
        <f>IF(179&lt;=$B$5,179,"")</f>
        <v/>
      </c>
      <c r="B187" s="6">
        <f>IF(A187="","",E186)</f>
        <v/>
      </c>
      <c r="C187" s="6">
        <f>IF(A187="","",B187*$B$4/12)</f>
        <v/>
      </c>
      <c r="D187" s="6">
        <f>IF(A187="","",MIN(B187,$B$6-C187))</f>
        <v/>
      </c>
      <c r="E187" s="6">
        <f>IF(A187="","",MAX(0,B187-D187))</f>
        <v/>
      </c>
      <c r="F187" s="6">
        <f>IF(A187="","",C187+D187)</f>
        <v/>
      </c>
    </row>
    <row r="188">
      <c r="A188" s="6">
        <f>IF(180&lt;=$B$5,180,"")</f>
        <v/>
      </c>
      <c r="B188" s="6">
        <f>IF(A188="","",E187)</f>
        <v/>
      </c>
      <c r="C188" s="6">
        <f>IF(A188="","",B188*$B$4/12)</f>
        <v/>
      </c>
      <c r="D188" s="6">
        <f>IF(A188="","",MIN(B188,$B$6-C188))</f>
        <v/>
      </c>
      <c r="E188" s="6">
        <f>IF(A188="","",MAX(0,B188-D188))</f>
        <v/>
      </c>
      <c r="F188" s="6">
        <f>IF(A188="","",C188+D188)</f>
        <v/>
      </c>
    </row>
    <row r="189">
      <c r="A189" s="6">
        <f>IF(181&lt;=$B$5,181,"")</f>
        <v/>
      </c>
      <c r="B189" s="6">
        <f>IF(A189="","",E188)</f>
        <v/>
      </c>
      <c r="C189" s="6">
        <f>IF(A189="","",B189*$B$4/12)</f>
        <v/>
      </c>
      <c r="D189" s="6">
        <f>IF(A189="","",MIN(B189,$B$6-C189))</f>
        <v/>
      </c>
      <c r="E189" s="6">
        <f>IF(A189="","",MAX(0,B189-D189))</f>
        <v/>
      </c>
      <c r="F189" s="6">
        <f>IF(A189="","",C189+D189)</f>
        <v/>
      </c>
    </row>
    <row r="190">
      <c r="A190" s="6">
        <f>IF(182&lt;=$B$5,182,"")</f>
        <v/>
      </c>
      <c r="B190" s="6">
        <f>IF(A190="","",E189)</f>
        <v/>
      </c>
      <c r="C190" s="6">
        <f>IF(A190="","",B190*$B$4/12)</f>
        <v/>
      </c>
      <c r="D190" s="6">
        <f>IF(A190="","",MIN(B190,$B$6-C190))</f>
        <v/>
      </c>
      <c r="E190" s="6">
        <f>IF(A190="","",MAX(0,B190-D190))</f>
        <v/>
      </c>
      <c r="F190" s="6">
        <f>IF(A190="","",C190+D190)</f>
        <v/>
      </c>
    </row>
    <row r="191">
      <c r="A191" s="6">
        <f>IF(183&lt;=$B$5,183,"")</f>
        <v/>
      </c>
      <c r="B191" s="6">
        <f>IF(A191="","",E190)</f>
        <v/>
      </c>
      <c r="C191" s="6">
        <f>IF(A191="","",B191*$B$4/12)</f>
        <v/>
      </c>
      <c r="D191" s="6">
        <f>IF(A191="","",MIN(B191,$B$6-C191))</f>
        <v/>
      </c>
      <c r="E191" s="6">
        <f>IF(A191="","",MAX(0,B191-D191))</f>
        <v/>
      </c>
      <c r="F191" s="6">
        <f>IF(A191="","",C191+D191)</f>
        <v/>
      </c>
    </row>
    <row r="192">
      <c r="A192" s="6">
        <f>IF(184&lt;=$B$5,184,"")</f>
        <v/>
      </c>
      <c r="B192" s="6">
        <f>IF(A192="","",E191)</f>
        <v/>
      </c>
      <c r="C192" s="6">
        <f>IF(A192="","",B192*$B$4/12)</f>
        <v/>
      </c>
      <c r="D192" s="6">
        <f>IF(A192="","",MIN(B192,$B$6-C192))</f>
        <v/>
      </c>
      <c r="E192" s="6">
        <f>IF(A192="","",MAX(0,B192-D192))</f>
        <v/>
      </c>
      <c r="F192" s="6">
        <f>IF(A192="","",C192+D192)</f>
        <v/>
      </c>
    </row>
    <row r="193">
      <c r="A193" s="6">
        <f>IF(185&lt;=$B$5,185,"")</f>
        <v/>
      </c>
      <c r="B193" s="6">
        <f>IF(A193="","",E192)</f>
        <v/>
      </c>
      <c r="C193" s="6">
        <f>IF(A193="","",B193*$B$4/12)</f>
        <v/>
      </c>
      <c r="D193" s="6">
        <f>IF(A193="","",MIN(B193,$B$6-C193))</f>
        <v/>
      </c>
      <c r="E193" s="6">
        <f>IF(A193="","",MAX(0,B193-D193))</f>
        <v/>
      </c>
      <c r="F193" s="6">
        <f>IF(A193="","",C193+D193)</f>
        <v/>
      </c>
    </row>
    <row r="194">
      <c r="A194" s="6">
        <f>IF(186&lt;=$B$5,186,"")</f>
        <v/>
      </c>
      <c r="B194" s="6">
        <f>IF(A194="","",E193)</f>
        <v/>
      </c>
      <c r="C194" s="6">
        <f>IF(A194="","",B194*$B$4/12)</f>
        <v/>
      </c>
      <c r="D194" s="6">
        <f>IF(A194="","",MIN(B194,$B$6-C194))</f>
        <v/>
      </c>
      <c r="E194" s="6">
        <f>IF(A194="","",MAX(0,B194-D194))</f>
        <v/>
      </c>
      <c r="F194" s="6">
        <f>IF(A194="","",C194+D194)</f>
        <v/>
      </c>
    </row>
    <row r="195">
      <c r="A195" s="6">
        <f>IF(187&lt;=$B$5,187,"")</f>
        <v/>
      </c>
      <c r="B195" s="6">
        <f>IF(A195="","",E194)</f>
        <v/>
      </c>
      <c r="C195" s="6">
        <f>IF(A195="","",B195*$B$4/12)</f>
        <v/>
      </c>
      <c r="D195" s="6">
        <f>IF(A195="","",MIN(B195,$B$6-C195))</f>
        <v/>
      </c>
      <c r="E195" s="6">
        <f>IF(A195="","",MAX(0,B195-D195))</f>
        <v/>
      </c>
      <c r="F195" s="6">
        <f>IF(A195="","",C195+D195)</f>
        <v/>
      </c>
    </row>
    <row r="196">
      <c r="A196" s="6">
        <f>IF(188&lt;=$B$5,188,"")</f>
        <v/>
      </c>
      <c r="B196" s="6">
        <f>IF(A196="","",E195)</f>
        <v/>
      </c>
      <c r="C196" s="6">
        <f>IF(A196="","",B196*$B$4/12)</f>
        <v/>
      </c>
      <c r="D196" s="6">
        <f>IF(A196="","",MIN(B196,$B$6-C196))</f>
        <v/>
      </c>
      <c r="E196" s="6">
        <f>IF(A196="","",MAX(0,B196-D196))</f>
        <v/>
      </c>
      <c r="F196" s="6">
        <f>IF(A196="","",C196+D196)</f>
        <v/>
      </c>
    </row>
    <row r="197">
      <c r="A197" s="6">
        <f>IF(189&lt;=$B$5,189,"")</f>
        <v/>
      </c>
      <c r="B197" s="6">
        <f>IF(A197="","",E196)</f>
        <v/>
      </c>
      <c r="C197" s="6">
        <f>IF(A197="","",B197*$B$4/12)</f>
        <v/>
      </c>
      <c r="D197" s="6">
        <f>IF(A197="","",MIN(B197,$B$6-C197))</f>
        <v/>
      </c>
      <c r="E197" s="6">
        <f>IF(A197="","",MAX(0,B197-D197))</f>
        <v/>
      </c>
      <c r="F197" s="6">
        <f>IF(A197="","",C197+D197)</f>
        <v/>
      </c>
    </row>
    <row r="198">
      <c r="A198" s="6">
        <f>IF(190&lt;=$B$5,190,"")</f>
        <v/>
      </c>
      <c r="B198" s="6">
        <f>IF(A198="","",E197)</f>
        <v/>
      </c>
      <c r="C198" s="6">
        <f>IF(A198="","",B198*$B$4/12)</f>
        <v/>
      </c>
      <c r="D198" s="6">
        <f>IF(A198="","",MIN(B198,$B$6-C198))</f>
        <v/>
      </c>
      <c r="E198" s="6">
        <f>IF(A198="","",MAX(0,B198-D198))</f>
        <v/>
      </c>
      <c r="F198" s="6">
        <f>IF(A198="","",C198+D198)</f>
        <v/>
      </c>
    </row>
    <row r="199">
      <c r="A199" s="6">
        <f>IF(191&lt;=$B$5,191,"")</f>
        <v/>
      </c>
      <c r="B199" s="6">
        <f>IF(A199="","",E198)</f>
        <v/>
      </c>
      <c r="C199" s="6">
        <f>IF(A199="","",B199*$B$4/12)</f>
        <v/>
      </c>
      <c r="D199" s="6">
        <f>IF(A199="","",MIN(B199,$B$6-C199))</f>
        <v/>
      </c>
      <c r="E199" s="6">
        <f>IF(A199="","",MAX(0,B199-D199))</f>
        <v/>
      </c>
      <c r="F199" s="6">
        <f>IF(A199="","",C199+D199)</f>
        <v/>
      </c>
    </row>
    <row r="200">
      <c r="A200" s="6">
        <f>IF(192&lt;=$B$5,192,"")</f>
        <v/>
      </c>
      <c r="B200" s="6">
        <f>IF(A200="","",E199)</f>
        <v/>
      </c>
      <c r="C200" s="6">
        <f>IF(A200="","",B200*$B$4/12)</f>
        <v/>
      </c>
      <c r="D200" s="6">
        <f>IF(A200="","",MIN(B200,$B$6-C200))</f>
        <v/>
      </c>
      <c r="E200" s="6">
        <f>IF(A200="","",MAX(0,B200-D200))</f>
        <v/>
      </c>
      <c r="F200" s="6">
        <f>IF(A200="","",C200+D200)</f>
        <v/>
      </c>
    </row>
    <row r="201">
      <c r="A201" s="6">
        <f>IF(193&lt;=$B$5,193,"")</f>
        <v/>
      </c>
      <c r="B201" s="6">
        <f>IF(A201="","",E200)</f>
        <v/>
      </c>
      <c r="C201" s="6">
        <f>IF(A201="","",B201*$B$4/12)</f>
        <v/>
      </c>
      <c r="D201" s="6">
        <f>IF(A201="","",MIN(B201,$B$6-C201))</f>
        <v/>
      </c>
      <c r="E201" s="6">
        <f>IF(A201="","",MAX(0,B201-D201))</f>
        <v/>
      </c>
      <c r="F201" s="6">
        <f>IF(A201="","",C201+D201)</f>
        <v/>
      </c>
    </row>
    <row r="202">
      <c r="A202" s="6">
        <f>IF(194&lt;=$B$5,194,"")</f>
        <v/>
      </c>
      <c r="B202" s="6">
        <f>IF(A202="","",E201)</f>
        <v/>
      </c>
      <c r="C202" s="6">
        <f>IF(A202="","",B202*$B$4/12)</f>
        <v/>
      </c>
      <c r="D202" s="6">
        <f>IF(A202="","",MIN(B202,$B$6-C202))</f>
        <v/>
      </c>
      <c r="E202" s="6">
        <f>IF(A202="","",MAX(0,B202-D202))</f>
        <v/>
      </c>
      <c r="F202" s="6">
        <f>IF(A202="","",C202+D202)</f>
        <v/>
      </c>
    </row>
    <row r="203">
      <c r="A203" s="6">
        <f>IF(195&lt;=$B$5,195,"")</f>
        <v/>
      </c>
      <c r="B203" s="6">
        <f>IF(A203="","",E202)</f>
        <v/>
      </c>
      <c r="C203" s="6">
        <f>IF(A203="","",B203*$B$4/12)</f>
        <v/>
      </c>
      <c r="D203" s="6">
        <f>IF(A203="","",MIN(B203,$B$6-C203))</f>
        <v/>
      </c>
      <c r="E203" s="6">
        <f>IF(A203="","",MAX(0,B203-D203))</f>
        <v/>
      </c>
      <c r="F203" s="6">
        <f>IF(A203="","",C203+D203)</f>
        <v/>
      </c>
    </row>
    <row r="204">
      <c r="A204" s="6">
        <f>IF(196&lt;=$B$5,196,"")</f>
        <v/>
      </c>
      <c r="B204" s="6">
        <f>IF(A204="","",E203)</f>
        <v/>
      </c>
      <c r="C204" s="6">
        <f>IF(A204="","",B204*$B$4/12)</f>
        <v/>
      </c>
      <c r="D204" s="6">
        <f>IF(A204="","",MIN(B204,$B$6-C204))</f>
        <v/>
      </c>
      <c r="E204" s="6">
        <f>IF(A204="","",MAX(0,B204-D204))</f>
        <v/>
      </c>
      <c r="F204" s="6">
        <f>IF(A204="","",C204+D204)</f>
        <v/>
      </c>
    </row>
    <row r="205">
      <c r="A205" s="6">
        <f>IF(197&lt;=$B$5,197,"")</f>
        <v/>
      </c>
      <c r="B205" s="6">
        <f>IF(A205="","",E204)</f>
        <v/>
      </c>
      <c r="C205" s="6">
        <f>IF(A205="","",B205*$B$4/12)</f>
        <v/>
      </c>
      <c r="D205" s="6">
        <f>IF(A205="","",MIN(B205,$B$6-C205))</f>
        <v/>
      </c>
      <c r="E205" s="6">
        <f>IF(A205="","",MAX(0,B205-D205))</f>
        <v/>
      </c>
      <c r="F205" s="6">
        <f>IF(A205="","",C205+D205)</f>
        <v/>
      </c>
    </row>
    <row r="206">
      <c r="A206" s="6">
        <f>IF(198&lt;=$B$5,198,"")</f>
        <v/>
      </c>
      <c r="B206" s="6">
        <f>IF(A206="","",E205)</f>
        <v/>
      </c>
      <c r="C206" s="6">
        <f>IF(A206="","",B206*$B$4/12)</f>
        <v/>
      </c>
      <c r="D206" s="6">
        <f>IF(A206="","",MIN(B206,$B$6-C206))</f>
        <v/>
      </c>
      <c r="E206" s="6">
        <f>IF(A206="","",MAX(0,B206-D206))</f>
        <v/>
      </c>
      <c r="F206" s="6">
        <f>IF(A206="","",C206+D206)</f>
        <v/>
      </c>
    </row>
    <row r="207">
      <c r="A207" s="6">
        <f>IF(199&lt;=$B$5,199,"")</f>
        <v/>
      </c>
      <c r="B207" s="6">
        <f>IF(A207="","",E206)</f>
        <v/>
      </c>
      <c r="C207" s="6">
        <f>IF(A207="","",B207*$B$4/12)</f>
        <v/>
      </c>
      <c r="D207" s="6">
        <f>IF(A207="","",MIN(B207,$B$6-C207))</f>
        <v/>
      </c>
      <c r="E207" s="6">
        <f>IF(A207="","",MAX(0,B207-D207))</f>
        <v/>
      </c>
      <c r="F207" s="6">
        <f>IF(A207="","",C207+D207)</f>
        <v/>
      </c>
    </row>
    <row r="208">
      <c r="A208" s="6">
        <f>IF(200&lt;=$B$5,200,"")</f>
        <v/>
      </c>
      <c r="B208" s="6">
        <f>IF(A208="","",E207)</f>
        <v/>
      </c>
      <c r="C208" s="6">
        <f>IF(A208="","",B208*$B$4/12)</f>
        <v/>
      </c>
      <c r="D208" s="6">
        <f>IF(A208="","",MIN(B208,$B$6-C208))</f>
        <v/>
      </c>
      <c r="E208" s="6">
        <f>IF(A208="","",MAX(0,B208-D208))</f>
        <v/>
      </c>
      <c r="F208" s="6">
        <f>IF(A208="","",C208+D208)</f>
        <v/>
      </c>
    </row>
    <row r="209">
      <c r="A209" s="6">
        <f>IF(201&lt;=$B$5,201,"")</f>
        <v/>
      </c>
      <c r="B209" s="6">
        <f>IF(A209="","",E208)</f>
        <v/>
      </c>
      <c r="C209" s="6">
        <f>IF(A209="","",B209*$B$4/12)</f>
        <v/>
      </c>
      <c r="D209" s="6">
        <f>IF(A209="","",MIN(B209,$B$6-C209))</f>
        <v/>
      </c>
      <c r="E209" s="6">
        <f>IF(A209="","",MAX(0,B209-D209))</f>
        <v/>
      </c>
      <c r="F209" s="6">
        <f>IF(A209="","",C209+D209)</f>
        <v/>
      </c>
    </row>
    <row r="210">
      <c r="A210" s="6">
        <f>IF(202&lt;=$B$5,202,"")</f>
        <v/>
      </c>
      <c r="B210" s="6">
        <f>IF(A210="","",E209)</f>
        <v/>
      </c>
      <c r="C210" s="6">
        <f>IF(A210="","",B210*$B$4/12)</f>
        <v/>
      </c>
      <c r="D210" s="6">
        <f>IF(A210="","",MIN(B210,$B$6-C210))</f>
        <v/>
      </c>
      <c r="E210" s="6">
        <f>IF(A210="","",MAX(0,B210-D210))</f>
        <v/>
      </c>
      <c r="F210" s="6">
        <f>IF(A210="","",C210+D210)</f>
        <v/>
      </c>
    </row>
    <row r="211">
      <c r="A211" s="6">
        <f>IF(203&lt;=$B$5,203,"")</f>
        <v/>
      </c>
      <c r="B211" s="6">
        <f>IF(A211="","",E210)</f>
        <v/>
      </c>
      <c r="C211" s="6">
        <f>IF(A211="","",B211*$B$4/12)</f>
        <v/>
      </c>
      <c r="D211" s="6">
        <f>IF(A211="","",MIN(B211,$B$6-C211))</f>
        <v/>
      </c>
      <c r="E211" s="6">
        <f>IF(A211="","",MAX(0,B211-D211))</f>
        <v/>
      </c>
      <c r="F211" s="6">
        <f>IF(A211="","",C211+D211)</f>
        <v/>
      </c>
    </row>
    <row r="212">
      <c r="A212" s="6">
        <f>IF(204&lt;=$B$5,204,"")</f>
        <v/>
      </c>
      <c r="B212" s="6">
        <f>IF(A212="","",E211)</f>
        <v/>
      </c>
      <c r="C212" s="6">
        <f>IF(A212="","",B212*$B$4/12)</f>
        <v/>
      </c>
      <c r="D212" s="6">
        <f>IF(A212="","",MIN(B212,$B$6-C212))</f>
        <v/>
      </c>
      <c r="E212" s="6">
        <f>IF(A212="","",MAX(0,B212-D212))</f>
        <v/>
      </c>
      <c r="F212" s="6">
        <f>IF(A212="","",C212+D212)</f>
        <v/>
      </c>
    </row>
    <row r="213">
      <c r="A213" s="6">
        <f>IF(205&lt;=$B$5,205,"")</f>
        <v/>
      </c>
      <c r="B213" s="6">
        <f>IF(A213="","",E212)</f>
        <v/>
      </c>
      <c r="C213" s="6">
        <f>IF(A213="","",B213*$B$4/12)</f>
        <v/>
      </c>
      <c r="D213" s="6">
        <f>IF(A213="","",MIN(B213,$B$6-C213))</f>
        <v/>
      </c>
      <c r="E213" s="6">
        <f>IF(A213="","",MAX(0,B213-D213))</f>
        <v/>
      </c>
      <c r="F213" s="6">
        <f>IF(A213="","",C213+D213)</f>
        <v/>
      </c>
    </row>
    <row r="214">
      <c r="A214" s="6">
        <f>IF(206&lt;=$B$5,206,"")</f>
        <v/>
      </c>
      <c r="B214" s="6">
        <f>IF(A214="","",E213)</f>
        <v/>
      </c>
      <c r="C214" s="6">
        <f>IF(A214="","",B214*$B$4/12)</f>
        <v/>
      </c>
      <c r="D214" s="6">
        <f>IF(A214="","",MIN(B214,$B$6-C214))</f>
        <v/>
      </c>
      <c r="E214" s="6">
        <f>IF(A214="","",MAX(0,B214-D214))</f>
        <v/>
      </c>
      <c r="F214" s="6">
        <f>IF(A214="","",C214+D214)</f>
        <v/>
      </c>
    </row>
    <row r="215">
      <c r="A215" s="6">
        <f>IF(207&lt;=$B$5,207,"")</f>
        <v/>
      </c>
      <c r="B215" s="6">
        <f>IF(A215="","",E214)</f>
        <v/>
      </c>
      <c r="C215" s="6">
        <f>IF(A215="","",B215*$B$4/12)</f>
        <v/>
      </c>
      <c r="D215" s="6">
        <f>IF(A215="","",MIN(B215,$B$6-C215))</f>
        <v/>
      </c>
      <c r="E215" s="6">
        <f>IF(A215="","",MAX(0,B215-D215))</f>
        <v/>
      </c>
      <c r="F215" s="6">
        <f>IF(A215="","",C215+D215)</f>
        <v/>
      </c>
    </row>
    <row r="216">
      <c r="A216" s="6">
        <f>IF(208&lt;=$B$5,208,"")</f>
        <v/>
      </c>
      <c r="B216" s="6">
        <f>IF(A216="","",E215)</f>
        <v/>
      </c>
      <c r="C216" s="6">
        <f>IF(A216="","",B216*$B$4/12)</f>
        <v/>
      </c>
      <c r="D216" s="6">
        <f>IF(A216="","",MIN(B216,$B$6-C216))</f>
        <v/>
      </c>
      <c r="E216" s="6">
        <f>IF(A216="","",MAX(0,B216-D216))</f>
        <v/>
      </c>
      <c r="F216" s="6">
        <f>IF(A216="","",C216+D216)</f>
        <v/>
      </c>
    </row>
    <row r="217">
      <c r="A217" s="6">
        <f>IF(209&lt;=$B$5,209,"")</f>
        <v/>
      </c>
      <c r="B217" s="6">
        <f>IF(A217="","",E216)</f>
        <v/>
      </c>
      <c r="C217" s="6">
        <f>IF(A217="","",B217*$B$4/12)</f>
        <v/>
      </c>
      <c r="D217" s="6">
        <f>IF(A217="","",MIN(B217,$B$6-C217))</f>
        <v/>
      </c>
      <c r="E217" s="6">
        <f>IF(A217="","",MAX(0,B217-D217))</f>
        <v/>
      </c>
      <c r="F217" s="6">
        <f>IF(A217="","",C217+D217)</f>
        <v/>
      </c>
    </row>
    <row r="218">
      <c r="A218" s="6">
        <f>IF(210&lt;=$B$5,210,"")</f>
        <v/>
      </c>
      <c r="B218" s="6">
        <f>IF(A218="","",E217)</f>
        <v/>
      </c>
      <c r="C218" s="6">
        <f>IF(A218="","",B218*$B$4/12)</f>
        <v/>
      </c>
      <c r="D218" s="6">
        <f>IF(A218="","",MIN(B218,$B$6-C218))</f>
        <v/>
      </c>
      <c r="E218" s="6">
        <f>IF(A218="","",MAX(0,B218-D218))</f>
        <v/>
      </c>
      <c r="F218" s="6">
        <f>IF(A218="","",C218+D218)</f>
        <v/>
      </c>
    </row>
    <row r="219">
      <c r="A219" s="6">
        <f>IF(211&lt;=$B$5,211,"")</f>
        <v/>
      </c>
      <c r="B219" s="6">
        <f>IF(A219="","",E218)</f>
        <v/>
      </c>
      <c r="C219" s="6">
        <f>IF(A219="","",B219*$B$4/12)</f>
        <v/>
      </c>
      <c r="D219" s="6">
        <f>IF(A219="","",MIN(B219,$B$6-C219))</f>
        <v/>
      </c>
      <c r="E219" s="6">
        <f>IF(A219="","",MAX(0,B219-D219))</f>
        <v/>
      </c>
      <c r="F219" s="6">
        <f>IF(A219="","",C219+D219)</f>
        <v/>
      </c>
    </row>
    <row r="220">
      <c r="A220" s="6">
        <f>IF(212&lt;=$B$5,212,"")</f>
        <v/>
      </c>
      <c r="B220" s="6">
        <f>IF(A220="","",E219)</f>
        <v/>
      </c>
      <c r="C220" s="6">
        <f>IF(A220="","",B220*$B$4/12)</f>
        <v/>
      </c>
      <c r="D220" s="6">
        <f>IF(A220="","",MIN(B220,$B$6-C220))</f>
        <v/>
      </c>
      <c r="E220" s="6">
        <f>IF(A220="","",MAX(0,B220-D220))</f>
        <v/>
      </c>
      <c r="F220" s="6">
        <f>IF(A220="","",C220+D220)</f>
        <v/>
      </c>
    </row>
    <row r="221">
      <c r="A221" s="6">
        <f>IF(213&lt;=$B$5,213,"")</f>
        <v/>
      </c>
      <c r="B221" s="6">
        <f>IF(A221="","",E220)</f>
        <v/>
      </c>
      <c r="C221" s="6">
        <f>IF(A221="","",B221*$B$4/12)</f>
        <v/>
      </c>
      <c r="D221" s="6">
        <f>IF(A221="","",MIN(B221,$B$6-C221))</f>
        <v/>
      </c>
      <c r="E221" s="6">
        <f>IF(A221="","",MAX(0,B221-D221))</f>
        <v/>
      </c>
      <c r="F221" s="6">
        <f>IF(A221="","",C221+D221)</f>
        <v/>
      </c>
    </row>
    <row r="222">
      <c r="A222" s="6">
        <f>IF(214&lt;=$B$5,214,"")</f>
        <v/>
      </c>
      <c r="B222" s="6">
        <f>IF(A222="","",E221)</f>
        <v/>
      </c>
      <c r="C222" s="6">
        <f>IF(A222="","",B222*$B$4/12)</f>
        <v/>
      </c>
      <c r="D222" s="6">
        <f>IF(A222="","",MIN(B222,$B$6-C222))</f>
        <v/>
      </c>
      <c r="E222" s="6">
        <f>IF(A222="","",MAX(0,B222-D222))</f>
        <v/>
      </c>
      <c r="F222" s="6">
        <f>IF(A222="","",C222+D222)</f>
        <v/>
      </c>
    </row>
    <row r="223">
      <c r="A223" s="6">
        <f>IF(215&lt;=$B$5,215,"")</f>
        <v/>
      </c>
      <c r="B223" s="6">
        <f>IF(A223="","",E222)</f>
        <v/>
      </c>
      <c r="C223" s="6">
        <f>IF(A223="","",B223*$B$4/12)</f>
        <v/>
      </c>
      <c r="D223" s="6">
        <f>IF(A223="","",MIN(B223,$B$6-C223))</f>
        <v/>
      </c>
      <c r="E223" s="6">
        <f>IF(A223="","",MAX(0,B223-D223))</f>
        <v/>
      </c>
      <c r="F223" s="6">
        <f>IF(A223="","",C223+D223)</f>
        <v/>
      </c>
    </row>
    <row r="224">
      <c r="A224" s="6">
        <f>IF(216&lt;=$B$5,216,"")</f>
        <v/>
      </c>
      <c r="B224" s="6">
        <f>IF(A224="","",E223)</f>
        <v/>
      </c>
      <c r="C224" s="6">
        <f>IF(A224="","",B224*$B$4/12)</f>
        <v/>
      </c>
      <c r="D224" s="6">
        <f>IF(A224="","",MIN(B224,$B$6-C224))</f>
        <v/>
      </c>
      <c r="E224" s="6">
        <f>IF(A224="","",MAX(0,B224-D224))</f>
        <v/>
      </c>
      <c r="F224" s="6">
        <f>IF(A224="","",C224+D224)</f>
        <v/>
      </c>
    </row>
    <row r="225">
      <c r="A225" s="6">
        <f>IF(217&lt;=$B$5,217,"")</f>
        <v/>
      </c>
      <c r="B225" s="6">
        <f>IF(A225="","",E224)</f>
        <v/>
      </c>
      <c r="C225" s="6">
        <f>IF(A225="","",B225*$B$4/12)</f>
        <v/>
      </c>
      <c r="D225" s="6">
        <f>IF(A225="","",MIN(B225,$B$6-C225))</f>
        <v/>
      </c>
      <c r="E225" s="6">
        <f>IF(A225="","",MAX(0,B225-D225))</f>
        <v/>
      </c>
      <c r="F225" s="6">
        <f>IF(A225="","",C225+D225)</f>
        <v/>
      </c>
    </row>
    <row r="226">
      <c r="A226" s="6">
        <f>IF(218&lt;=$B$5,218,"")</f>
        <v/>
      </c>
      <c r="B226" s="6">
        <f>IF(A226="","",E225)</f>
        <v/>
      </c>
      <c r="C226" s="6">
        <f>IF(A226="","",B226*$B$4/12)</f>
        <v/>
      </c>
      <c r="D226" s="6">
        <f>IF(A226="","",MIN(B226,$B$6-C226))</f>
        <v/>
      </c>
      <c r="E226" s="6">
        <f>IF(A226="","",MAX(0,B226-D226))</f>
        <v/>
      </c>
      <c r="F226" s="6">
        <f>IF(A226="","",C226+D226)</f>
        <v/>
      </c>
    </row>
    <row r="227">
      <c r="A227" s="6">
        <f>IF(219&lt;=$B$5,219,"")</f>
        <v/>
      </c>
      <c r="B227" s="6">
        <f>IF(A227="","",E226)</f>
        <v/>
      </c>
      <c r="C227" s="6">
        <f>IF(A227="","",B227*$B$4/12)</f>
        <v/>
      </c>
      <c r="D227" s="6">
        <f>IF(A227="","",MIN(B227,$B$6-C227))</f>
        <v/>
      </c>
      <c r="E227" s="6">
        <f>IF(A227="","",MAX(0,B227-D227))</f>
        <v/>
      </c>
      <c r="F227" s="6">
        <f>IF(A227="","",C227+D227)</f>
        <v/>
      </c>
    </row>
    <row r="228">
      <c r="A228" s="6">
        <f>IF(220&lt;=$B$5,220,"")</f>
        <v/>
      </c>
      <c r="B228" s="6">
        <f>IF(A228="","",E227)</f>
        <v/>
      </c>
      <c r="C228" s="6">
        <f>IF(A228="","",B228*$B$4/12)</f>
        <v/>
      </c>
      <c r="D228" s="6">
        <f>IF(A228="","",MIN(B228,$B$6-C228))</f>
        <v/>
      </c>
      <c r="E228" s="6">
        <f>IF(A228="","",MAX(0,B228-D228))</f>
        <v/>
      </c>
      <c r="F228" s="6">
        <f>IF(A228="","",C228+D228)</f>
        <v/>
      </c>
    </row>
    <row r="229">
      <c r="A229" s="6">
        <f>IF(221&lt;=$B$5,221,"")</f>
        <v/>
      </c>
      <c r="B229" s="6">
        <f>IF(A229="","",E228)</f>
        <v/>
      </c>
      <c r="C229" s="6">
        <f>IF(A229="","",B229*$B$4/12)</f>
        <v/>
      </c>
      <c r="D229" s="6">
        <f>IF(A229="","",MIN(B229,$B$6-C229))</f>
        <v/>
      </c>
      <c r="E229" s="6">
        <f>IF(A229="","",MAX(0,B229-D229))</f>
        <v/>
      </c>
      <c r="F229" s="6">
        <f>IF(A229="","",C229+D229)</f>
        <v/>
      </c>
    </row>
    <row r="230">
      <c r="A230" s="6">
        <f>IF(222&lt;=$B$5,222,"")</f>
        <v/>
      </c>
      <c r="B230" s="6">
        <f>IF(A230="","",E229)</f>
        <v/>
      </c>
      <c r="C230" s="6">
        <f>IF(A230="","",B230*$B$4/12)</f>
        <v/>
      </c>
      <c r="D230" s="6">
        <f>IF(A230="","",MIN(B230,$B$6-C230))</f>
        <v/>
      </c>
      <c r="E230" s="6">
        <f>IF(A230="","",MAX(0,B230-D230))</f>
        <v/>
      </c>
      <c r="F230" s="6">
        <f>IF(A230="","",C230+D230)</f>
        <v/>
      </c>
    </row>
    <row r="231">
      <c r="A231" s="6">
        <f>IF(223&lt;=$B$5,223,"")</f>
        <v/>
      </c>
      <c r="B231" s="6">
        <f>IF(A231="","",E230)</f>
        <v/>
      </c>
      <c r="C231" s="6">
        <f>IF(A231="","",B231*$B$4/12)</f>
        <v/>
      </c>
      <c r="D231" s="6">
        <f>IF(A231="","",MIN(B231,$B$6-C231))</f>
        <v/>
      </c>
      <c r="E231" s="6">
        <f>IF(A231="","",MAX(0,B231-D231))</f>
        <v/>
      </c>
      <c r="F231" s="6">
        <f>IF(A231="","",C231+D231)</f>
        <v/>
      </c>
    </row>
    <row r="232">
      <c r="A232" s="6">
        <f>IF(224&lt;=$B$5,224,"")</f>
        <v/>
      </c>
      <c r="B232" s="6">
        <f>IF(A232="","",E231)</f>
        <v/>
      </c>
      <c r="C232" s="6">
        <f>IF(A232="","",B232*$B$4/12)</f>
        <v/>
      </c>
      <c r="D232" s="6">
        <f>IF(A232="","",MIN(B232,$B$6-C232))</f>
        <v/>
      </c>
      <c r="E232" s="6">
        <f>IF(A232="","",MAX(0,B232-D232))</f>
        <v/>
      </c>
      <c r="F232" s="6">
        <f>IF(A232="","",C232+D232)</f>
        <v/>
      </c>
    </row>
    <row r="233">
      <c r="A233" s="6">
        <f>IF(225&lt;=$B$5,225,"")</f>
        <v/>
      </c>
      <c r="B233" s="6">
        <f>IF(A233="","",E232)</f>
        <v/>
      </c>
      <c r="C233" s="6">
        <f>IF(A233="","",B233*$B$4/12)</f>
        <v/>
      </c>
      <c r="D233" s="6">
        <f>IF(A233="","",MIN(B233,$B$6-C233))</f>
        <v/>
      </c>
      <c r="E233" s="6">
        <f>IF(A233="","",MAX(0,B233-D233))</f>
        <v/>
      </c>
      <c r="F233" s="6">
        <f>IF(A233="","",C233+D233)</f>
        <v/>
      </c>
    </row>
    <row r="234">
      <c r="A234" s="6">
        <f>IF(226&lt;=$B$5,226,"")</f>
        <v/>
      </c>
      <c r="B234" s="6">
        <f>IF(A234="","",E233)</f>
        <v/>
      </c>
      <c r="C234" s="6">
        <f>IF(A234="","",B234*$B$4/12)</f>
        <v/>
      </c>
      <c r="D234" s="6">
        <f>IF(A234="","",MIN(B234,$B$6-C234))</f>
        <v/>
      </c>
      <c r="E234" s="6">
        <f>IF(A234="","",MAX(0,B234-D234))</f>
        <v/>
      </c>
      <c r="F234" s="6">
        <f>IF(A234="","",C234+D234)</f>
        <v/>
      </c>
    </row>
    <row r="235">
      <c r="A235" s="6">
        <f>IF(227&lt;=$B$5,227,"")</f>
        <v/>
      </c>
      <c r="B235" s="6">
        <f>IF(A235="","",E234)</f>
        <v/>
      </c>
      <c r="C235" s="6">
        <f>IF(A235="","",B235*$B$4/12)</f>
        <v/>
      </c>
      <c r="D235" s="6">
        <f>IF(A235="","",MIN(B235,$B$6-C235))</f>
        <v/>
      </c>
      <c r="E235" s="6">
        <f>IF(A235="","",MAX(0,B235-D235))</f>
        <v/>
      </c>
      <c r="F235" s="6">
        <f>IF(A235="","",C235+D235)</f>
        <v/>
      </c>
    </row>
    <row r="236">
      <c r="A236" s="6">
        <f>IF(228&lt;=$B$5,228,"")</f>
        <v/>
      </c>
      <c r="B236" s="6">
        <f>IF(A236="","",E235)</f>
        <v/>
      </c>
      <c r="C236" s="6">
        <f>IF(A236="","",B236*$B$4/12)</f>
        <v/>
      </c>
      <c r="D236" s="6">
        <f>IF(A236="","",MIN(B236,$B$6-C236))</f>
        <v/>
      </c>
      <c r="E236" s="6">
        <f>IF(A236="","",MAX(0,B236-D236))</f>
        <v/>
      </c>
      <c r="F236" s="6">
        <f>IF(A236="","",C236+D236)</f>
        <v/>
      </c>
    </row>
    <row r="237">
      <c r="A237" s="6">
        <f>IF(229&lt;=$B$5,229,"")</f>
        <v/>
      </c>
      <c r="B237" s="6">
        <f>IF(A237="","",E236)</f>
        <v/>
      </c>
      <c r="C237" s="6">
        <f>IF(A237="","",B237*$B$4/12)</f>
        <v/>
      </c>
      <c r="D237" s="6">
        <f>IF(A237="","",MIN(B237,$B$6-C237))</f>
        <v/>
      </c>
      <c r="E237" s="6">
        <f>IF(A237="","",MAX(0,B237-D237))</f>
        <v/>
      </c>
      <c r="F237" s="6">
        <f>IF(A237="","",C237+D237)</f>
        <v/>
      </c>
    </row>
    <row r="238">
      <c r="A238" s="6">
        <f>IF(230&lt;=$B$5,230,"")</f>
        <v/>
      </c>
      <c r="B238" s="6">
        <f>IF(A238="","",E237)</f>
        <v/>
      </c>
      <c r="C238" s="6">
        <f>IF(A238="","",B238*$B$4/12)</f>
        <v/>
      </c>
      <c r="D238" s="6">
        <f>IF(A238="","",MIN(B238,$B$6-C238))</f>
        <v/>
      </c>
      <c r="E238" s="6">
        <f>IF(A238="","",MAX(0,B238-D238))</f>
        <v/>
      </c>
      <c r="F238" s="6">
        <f>IF(A238="","",C238+D238)</f>
        <v/>
      </c>
    </row>
    <row r="239">
      <c r="A239" s="6">
        <f>IF(231&lt;=$B$5,231,"")</f>
        <v/>
      </c>
      <c r="B239" s="6">
        <f>IF(A239="","",E238)</f>
        <v/>
      </c>
      <c r="C239" s="6">
        <f>IF(A239="","",B239*$B$4/12)</f>
        <v/>
      </c>
      <c r="D239" s="6">
        <f>IF(A239="","",MIN(B239,$B$6-C239))</f>
        <v/>
      </c>
      <c r="E239" s="6">
        <f>IF(A239="","",MAX(0,B239-D239))</f>
        <v/>
      </c>
      <c r="F239" s="6">
        <f>IF(A239="","",C239+D239)</f>
        <v/>
      </c>
    </row>
    <row r="240">
      <c r="A240" s="6">
        <f>IF(232&lt;=$B$5,232,"")</f>
        <v/>
      </c>
      <c r="B240" s="6">
        <f>IF(A240="","",E239)</f>
        <v/>
      </c>
      <c r="C240" s="6">
        <f>IF(A240="","",B240*$B$4/12)</f>
        <v/>
      </c>
      <c r="D240" s="6">
        <f>IF(A240="","",MIN(B240,$B$6-C240))</f>
        <v/>
      </c>
      <c r="E240" s="6">
        <f>IF(A240="","",MAX(0,B240-D240))</f>
        <v/>
      </c>
      <c r="F240" s="6">
        <f>IF(A240="","",C240+D240)</f>
        <v/>
      </c>
    </row>
    <row r="241">
      <c r="A241" s="6">
        <f>IF(233&lt;=$B$5,233,"")</f>
        <v/>
      </c>
      <c r="B241" s="6">
        <f>IF(A241="","",E240)</f>
        <v/>
      </c>
      <c r="C241" s="6">
        <f>IF(A241="","",B241*$B$4/12)</f>
        <v/>
      </c>
      <c r="D241" s="6">
        <f>IF(A241="","",MIN(B241,$B$6-C241))</f>
        <v/>
      </c>
      <c r="E241" s="6">
        <f>IF(A241="","",MAX(0,B241-D241))</f>
        <v/>
      </c>
      <c r="F241" s="6">
        <f>IF(A241="","",C241+D241)</f>
        <v/>
      </c>
    </row>
    <row r="242">
      <c r="A242" s="6">
        <f>IF(234&lt;=$B$5,234,"")</f>
        <v/>
      </c>
      <c r="B242" s="6">
        <f>IF(A242="","",E241)</f>
        <v/>
      </c>
      <c r="C242" s="6">
        <f>IF(A242="","",B242*$B$4/12)</f>
        <v/>
      </c>
      <c r="D242" s="6">
        <f>IF(A242="","",MIN(B242,$B$6-C242))</f>
        <v/>
      </c>
      <c r="E242" s="6">
        <f>IF(A242="","",MAX(0,B242-D242))</f>
        <v/>
      </c>
      <c r="F242" s="6">
        <f>IF(A242="","",C242+D242)</f>
        <v/>
      </c>
    </row>
    <row r="243">
      <c r="A243" s="6">
        <f>IF(235&lt;=$B$5,235,"")</f>
        <v/>
      </c>
      <c r="B243" s="6">
        <f>IF(A243="","",E242)</f>
        <v/>
      </c>
      <c r="C243" s="6">
        <f>IF(A243="","",B243*$B$4/12)</f>
        <v/>
      </c>
      <c r="D243" s="6">
        <f>IF(A243="","",MIN(B243,$B$6-C243))</f>
        <v/>
      </c>
      <c r="E243" s="6">
        <f>IF(A243="","",MAX(0,B243-D243))</f>
        <v/>
      </c>
      <c r="F243" s="6">
        <f>IF(A243="","",C243+D243)</f>
        <v/>
      </c>
    </row>
    <row r="244">
      <c r="A244" s="6">
        <f>IF(236&lt;=$B$5,236,"")</f>
        <v/>
      </c>
      <c r="B244" s="6">
        <f>IF(A244="","",E243)</f>
        <v/>
      </c>
      <c r="C244" s="6">
        <f>IF(A244="","",B244*$B$4/12)</f>
        <v/>
      </c>
      <c r="D244" s="6">
        <f>IF(A244="","",MIN(B244,$B$6-C244))</f>
        <v/>
      </c>
      <c r="E244" s="6">
        <f>IF(A244="","",MAX(0,B244-D244))</f>
        <v/>
      </c>
      <c r="F244" s="6">
        <f>IF(A244="","",C244+D244)</f>
        <v/>
      </c>
    </row>
    <row r="245">
      <c r="A245" s="6">
        <f>IF(237&lt;=$B$5,237,"")</f>
        <v/>
      </c>
      <c r="B245" s="6">
        <f>IF(A245="","",E244)</f>
        <v/>
      </c>
      <c r="C245" s="6">
        <f>IF(A245="","",B245*$B$4/12)</f>
        <v/>
      </c>
      <c r="D245" s="6">
        <f>IF(A245="","",MIN(B245,$B$6-C245))</f>
        <v/>
      </c>
      <c r="E245" s="6">
        <f>IF(A245="","",MAX(0,B245-D245))</f>
        <v/>
      </c>
      <c r="F245" s="6">
        <f>IF(A245="","",C245+D245)</f>
        <v/>
      </c>
    </row>
    <row r="246">
      <c r="A246" s="6">
        <f>IF(238&lt;=$B$5,238,"")</f>
        <v/>
      </c>
      <c r="B246" s="6">
        <f>IF(A246="","",E245)</f>
        <v/>
      </c>
      <c r="C246" s="6">
        <f>IF(A246="","",B246*$B$4/12)</f>
        <v/>
      </c>
      <c r="D246" s="6">
        <f>IF(A246="","",MIN(B246,$B$6-C246))</f>
        <v/>
      </c>
      <c r="E246" s="6">
        <f>IF(A246="","",MAX(0,B246-D246))</f>
        <v/>
      </c>
      <c r="F246" s="6">
        <f>IF(A246="","",C246+D246)</f>
        <v/>
      </c>
    </row>
    <row r="247">
      <c r="A247" s="6">
        <f>IF(239&lt;=$B$5,239,"")</f>
        <v/>
      </c>
      <c r="B247" s="6">
        <f>IF(A247="","",E246)</f>
        <v/>
      </c>
      <c r="C247" s="6">
        <f>IF(A247="","",B247*$B$4/12)</f>
        <v/>
      </c>
      <c r="D247" s="6">
        <f>IF(A247="","",MIN(B247,$B$6-C247))</f>
        <v/>
      </c>
      <c r="E247" s="6">
        <f>IF(A247="","",MAX(0,B247-D247))</f>
        <v/>
      </c>
      <c r="F247" s="6">
        <f>IF(A247="","",C247+D247)</f>
        <v/>
      </c>
    </row>
    <row r="248">
      <c r="A248" s="6">
        <f>IF(240&lt;=$B$5,240,"")</f>
        <v/>
      </c>
      <c r="B248" s="6">
        <f>IF(A248="","",E247)</f>
        <v/>
      </c>
      <c r="C248" s="6">
        <f>IF(A248="","",B248*$B$4/12)</f>
        <v/>
      </c>
      <c r="D248" s="6">
        <f>IF(A248="","",MIN(B248,$B$6-C248))</f>
        <v/>
      </c>
      <c r="E248" s="6">
        <f>IF(A248="","",MAX(0,B248-D248))</f>
        <v/>
      </c>
      <c r="F248" s="6">
        <f>IF(A248="","",C248+D248)</f>
        <v/>
      </c>
    </row>
    <row r="249">
      <c r="A249" s="6">
        <f>IF(241&lt;=$B$5,241,"")</f>
        <v/>
      </c>
      <c r="B249" s="6">
        <f>IF(A249="","",E248)</f>
        <v/>
      </c>
      <c r="C249" s="6">
        <f>IF(A249="","",B249*$B$4/12)</f>
        <v/>
      </c>
      <c r="D249" s="6">
        <f>IF(A249="","",MIN(B249,$B$6-C249))</f>
        <v/>
      </c>
      <c r="E249" s="6">
        <f>IF(A249="","",MAX(0,B249-D249))</f>
        <v/>
      </c>
      <c r="F249" s="6">
        <f>IF(A249="","",C249+D249)</f>
        <v/>
      </c>
    </row>
    <row r="250">
      <c r="A250" s="6">
        <f>IF(242&lt;=$B$5,242,"")</f>
        <v/>
      </c>
      <c r="B250" s="6">
        <f>IF(A250="","",E249)</f>
        <v/>
      </c>
      <c r="C250" s="6">
        <f>IF(A250="","",B250*$B$4/12)</f>
        <v/>
      </c>
      <c r="D250" s="6">
        <f>IF(A250="","",MIN(B250,$B$6-C250))</f>
        <v/>
      </c>
      <c r="E250" s="6">
        <f>IF(A250="","",MAX(0,B250-D250))</f>
        <v/>
      </c>
      <c r="F250" s="6">
        <f>IF(A250="","",C250+D250)</f>
        <v/>
      </c>
    </row>
    <row r="251">
      <c r="A251" s="6">
        <f>IF(243&lt;=$B$5,243,"")</f>
        <v/>
      </c>
      <c r="B251" s="6">
        <f>IF(A251="","",E250)</f>
        <v/>
      </c>
      <c r="C251" s="6">
        <f>IF(A251="","",B251*$B$4/12)</f>
        <v/>
      </c>
      <c r="D251" s="6">
        <f>IF(A251="","",MIN(B251,$B$6-C251))</f>
        <v/>
      </c>
      <c r="E251" s="6">
        <f>IF(A251="","",MAX(0,B251-D251))</f>
        <v/>
      </c>
      <c r="F251" s="6">
        <f>IF(A251="","",C251+D251)</f>
        <v/>
      </c>
    </row>
    <row r="252">
      <c r="A252" s="6">
        <f>IF(244&lt;=$B$5,244,"")</f>
        <v/>
      </c>
      <c r="B252" s="6">
        <f>IF(A252="","",E251)</f>
        <v/>
      </c>
      <c r="C252" s="6">
        <f>IF(A252="","",B252*$B$4/12)</f>
        <v/>
      </c>
      <c r="D252" s="6">
        <f>IF(A252="","",MIN(B252,$B$6-C252))</f>
        <v/>
      </c>
      <c r="E252" s="6">
        <f>IF(A252="","",MAX(0,B252-D252))</f>
        <v/>
      </c>
      <c r="F252" s="6">
        <f>IF(A252="","",C252+D252)</f>
        <v/>
      </c>
    </row>
    <row r="253">
      <c r="A253" s="6">
        <f>IF(245&lt;=$B$5,245,"")</f>
        <v/>
      </c>
      <c r="B253" s="6">
        <f>IF(A253="","",E252)</f>
        <v/>
      </c>
      <c r="C253" s="6">
        <f>IF(A253="","",B253*$B$4/12)</f>
        <v/>
      </c>
      <c r="D253" s="6">
        <f>IF(A253="","",MIN(B253,$B$6-C253))</f>
        <v/>
      </c>
      <c r="E253" s="6">
        <f>IF(A253="","",MAX(0,B253-D253))</f>
        <v/>
      </c>
      <c r="F253" s="6">
        <f>IF(A253="","",C253+D253)</f>
        <v/>
      </c>
    </row>
    <row r="254">
      <c r="A254" s="6">
        <f>IF(246&lt;=$B$5,246,"")</f>
        <v/>
      </c>
      <c r="B254" s="6">
        <f>IF(A254="","",E253)</f>
        <v/>
      </c>
      <c r="C254" s="6">
        <f>IF(A254="","",B254*$B$4/12)</f>
        <v/>
      </c>
      <c r="D254" s="6">
        <f>IF(A254="","",MIN(B254,$B$6-C254))</f>
        <v/>
      </c>
      <c r="E254" s="6">
        <f>IF(A254="","",MAX(0,B254-D254))</f>
        <v/>
      </c>
      <c r="F254" s="6">
        <f>IF(A254="","",C254+D254)</f>
        <v/>
      </c>
    </row>
    <row r="255">
      <c r="A255" s="6">
        <f>IF(247&lt;=$B$5,247,"")</f>
        <v/>
      </c>
      <c r="B255" s="6">
        <f>IF(A255="","",E254)</f>
        <v/>
      </c>
      <c r="C255" s="6">
        <f>IF(A255="","",B255*$B$4/12)</f>
        <v/>
      </c>
      <c r="D255" s="6">
        <f>IF(A255="","",MIN(B255,$B$6-C255))</f>
        <v/>
      </c>
      <c r="E255" s="6">
        <f>IF(A255="","",MAX(0,B255-D255))</f>
        <v/>
      </c>
      <c r="F255" s="6">
        <f>IF(A255="","",C255+D255)</f>
        <v/>
      </c>
    </row>
    <row r="256">
      <c r="A256" s="6">
        <f>IF(248&lt;=$B$5,248,"")</f>
        <v/>
      </c>
      <c r="B256" s="6">
        <f>IF(A256="","",E255)</f>
        <v/>
      </c>
      <c r="C256" s="6">
        <f>IF(A256="","",B256*$B$4/12)</f>
        <v/>
      </c>
      <c r="D256" s="6">
        <f>IF(A256="","",MIN(B256,$B$6-C256))</f>
        <v/>
      </c>
      <c r="E256" s="6">
        <f>IF(A256="","",MAX(0,B256-D256))</f>
        <v/>
      </c>
      <c r="F256" s="6">
        <f>IF(A256="","",C256+D256)</f>
        <v/>
      </c>
    </row>
    <row r="257">
      <c r="A257" s="6">
        <f>IF(249&lt;=$B$5,249,"")</f>
        <v/>
      </c>
      <c r="B257" s="6">
        <f>IF(A257="","",E256)</f>
        <v/>
      </c>
      <c r="C257" s="6">
        <f>IF(A257="","",B257*$B$4/12)</f>
        <v/>
      </c>
      <c r="D257" s="6">
        <f>IF(A257="","",MIN(B257,$B$6-C257))</f>
        <v/>
      </c>
      <c r="E257" s="6">
        <f>IF(A257="","",MAX(0,B257-D257))</f>
        <v/>
      </c>
      <c r="F257" s="6">
        <f>IF(A257="","",C257+D257)</f>
        <v/>
      </c>
    </row>
    <row r="258">
      <c r="A258" s="6">
        <f>IF(250&lt;=$B$5,250,"")</f>
        <v/>
      </c>
      <c r="B258" s="6">
        <f>IF(A258="","",E257)</f>
        <v/>
      </c>
      <c r="C258" s="6">
        <f>IF(A258="","",B258*$B$4/12)</f>
        <v/>
      </c>
      <c r="D258" s="6">
        <f>IF(A258="","",MIN(B258,$B$6-C258))</f>
        <v/>
      </c>
      <c r="E258" s="6">
        <f>IF(A258="","",MAX(0,B258-D258))</f>
        <v/>
      </c>
      <c r="F258" s="6">
        <f>IF(A258="","",C258+D258)</f>
        <v/>
      </c>
    </row>
    <row r="259">
      <c r="A259" s="6">
        <f>IF(251&lt;=$B$5,251,"")</f>
        <v/>
      </c>
      <c r="B259" s="6">
        <f>IF(A259="","",E258)</f>
        <v/>
      </c>
      <c r="C259" s="6">
        <f>IF(A259="","",B259*$B$4/12)</f>
        <v/>
      </c>
      <c r="D259" s="6">
        <f>IF(A259="","",MIN(B259,$B$6-C259))</f>
        <v/>
      </c>
      <c r="E259" s="6">
        <f>IF(A259="","",MAX(0,B259-D259))</f>
        <v/>
      </c>
      <c r="F259" s="6">
        <f>IF(A259="","",C259+D259)</f>
        <v/>
      </c>
    </row>
    <row r="260">
      <c r="A260" s="6">
        <f>IF(252&lt;=$B$5,252,"")</f>
        <v/>
      </c>
      <c r="B260" s="6">
        <f>IF(A260="","",E259)</f>
        <v/>
      </c>
      <c r="C260" s="6">
        <f>IF(A260="","",B260*$B$4/12)</f>
        <v/>
      </c>
      <c r="D260" s="6">
        <f>IF(A260="","",MIN(B260,$B$6-C260))</f>
        <v/>
      </c>
      <c r="E260" s="6">
        <f>IF(A260="","",MAX(0,B260-D260))</f>
        <v/>
      </c>
      <c r="F260" s="6">
        <f>IF(A260="","",C260+D260)</f>
        <v/>
      </c>
    </row>
    <row r="261">
      <c r="A261" s="6">
        <f>IF(253&lt;=$B$5,253,"")</f>
        <v/>
      </c>
      <c r="B261" s="6">
        <f>IF(A261="","",E260)</f>
        <v/>
      </c>
      <c r="C261" s="6">
        <f>IF(A261="","",B261*$B$4/12)</f>
        <v/>
      </c>
      <c r="D261" s="6">
        <f>IF(A261="","",MIN(B261,$B$6-C261))</f>
        <v/>
      </c>
      <c r="E261" s="6">
        <f>IF(A261="","",MAX(0,B261-D261))</f>
        <v/>
      </c>
      <c r="F261" s="6">
        <f>IF(A261="","",C261+D261)</f>
        <v/>
      </c>
    </row>
    <row r="262">
      <c r="A262" s="6">
        <f>IF(254&lt;=$B$5,254,"")</f>
        <v/>
      </c>
      <c r="B262" s="6">
        <f>IF(A262="","",E261)</f>
        <v/>
      </c>
      <c r="C262" s="6">
        <f>IF(A262="","",B262*$B$4/12)</f>
        <v/>
      </c>
      <c r="D262" s="6">
        <f>IF(A262="","",MIN(B262,$B$6-C262))</f>
        <v/>
      </c>
      <c r="E262" s="6">
        <f>IF(A262="","",MAX(0,B262-D262))</f>
        <v/>
      </c>
      <c r="F262" s="6">
        <f>IF(A262="","",C262+D262)</f>
        <v/>
      </c>
    </row>
    <row r="263">
      <c r="A263" s="6">
        <f>IF(255&lt;=$B$5,255,"")</f>
        <v/>
      </c>
      <c r="B263" s="6">
        <f>IF(A263="","",E262)</f>
        <v/>
      </c>
      <c r="C263" s="6">
        <f>IF(A263="","",B263*$B$4/12)</f>
        <v/>
      </c>
      <c r="D263" s="6">
        <f>IF(A263="","",MIN(B263,$B$6-C263))</f>
        <v/>
      </c>
      <c r="E263" s="6">
        <f>IF(A263="","",MAX(0,B263-D263))</f>
        <v/>
      </c>
      <c r="F263" s="6">
        <f>IF(A263="","",C263+D263)</f>
        <v/>
      </c>
    </row>
    <row r="264">
      <c r="A264" s="6">
        <f>IF(256&lt;=$B$5,256,"")</f>
        <v/>
      </c>
      <c r="B264" s="6">
        <f>IF(A264="","",E263)</f>
        <v/>
      </c>
      <c r="C264" s="6">
        <f>IF(A264="","",B264*$B$4/12)</f>
        <v/>
      </c>
      <c r="D264" s="6">
        <f>IF(A264="","",MIN(B264,$B$6-C264))</f>
        <v/>
      </c>
      <c r="E264" s="6">
        <f>IF(A264="","",MAX(0,B264-D264))</f>
        <v/>
      </c>
      <c r="F264" s="6">
        <f>IF(A264="","",C264+D264)</f>
        <v/>
      </c>
    </row>
    <row r="265">
      <c r="A265" s="6">
        <f>IF(257&lt;=$B$5,257,"")</f>
        <v/>
      </c>
      <c r="B265" s="6">
        <f>IF(A265="","",E264)</f>
        <v/>
      </c>
      <c r="C265" s="6">
        <f>IF(A265="","",B265*$B$4/12)</f>
        <v/>
      </c>
      <c r="D265" s="6">
        <f>IF(A265="","",MIN(B265,$B$6-C265))</f>
        <v/>
      </c>
      <c r="E265" s="6">
        <f>IF(A265="","",MAX(0,B265-D265))</f>
        <v/>
      </c>
      <c r="F265" s="6">
        <f>IF(A265="","",C265+D265)</f>
        <v/>
      </c>
    </row>
    <row r="266">
      <c r="A266" s="6">
        <f>IF(258&lt;=$B$5,258,"")</f>
        <v/>
      </c>
      <c r="B266" s="6">
        <f>IF(A266="","",E265)</f>
        <v/>
      </c>
      <c r="C266" s="6">
        <f>IF(A266="","",B266*$B$4/12)</f>
        <v/>
      </c>
      <c r="D266" s="6">
        <f>IF(A266="","",MIN(B266,$B$6-C266))</f>
        <v/>
      </c>
      <c r="E266" s="6">
        <f>IF(A266="","",MAX(0,B266-D266))</f>
        <v/>
      </c>
      <c r="F266" s="6">
        <f>IF(A266="","",C266+D266)</f>
        <v/>
      </c>
    </row>
    <row r="267">
      <c r="A267" s="6">
        <f>IF(259&lt;=$B$5,259,"")</f>
        <v/>
      </c>
      <c r="B267" s="6">
        <f>IF(A267="","",E266)</f>
        <v/>
      </c>
      <c r="C267" s="6">
        <f>IF(A267="","",B267*$B$4/12)</f>
        <v/>
      </c>
      <c r="D267" s="6">
        <f>IF(A267="","",MIN(B267,$B$6-C267))</f>
        <v/>
      </c>
      <c r="E267" s="6">
        <f>IF(A267="","",MAX(0,B267-D267))</f>
        <v/>
      </c>
      <c r="F267" s="6">
        <f>IF(A267="","",C267+D267)</f>
        <v/>
      </c>
    </row>
    <row r="268">
      <c r="A268" s="6">
        <f>IF(260&lt;=$B$5,260,"")</f>
        <v/>
      </c>
      <c r="B268" s="6">
        <f>IF(A268="","",E267)</f>
        <v/>
      </c>
      <c r="C268" s="6">
        <f>IF(A268="","",B268*$B$4/12)</f>
        <v/>
      </c>
      <c r="D268" s="6">
        <f>IF(A268="","",MIN(B268,$B$6-C268))</f>
        <v/>
      </c>
      <c r="E268" s="6">
        <f>IF(A268="","",MAX(0,B268-D268))</f>
        <v/>
      </c>
      <c r="F268" s="6">
        <f>IF(A268="","",C268+D268)</f>
        <v/>
      </c>
    </row>
    <row r="269">
      <c r="A269" s="6">
        <f>IF(261&lt;=$B$5,261,"")</f>
        <v/>
      </c>
      <c r="B269" s="6">
        <f>IF(A269="","",E268)</f>
        <v/>
      </c>
      <c r="C269" s="6">
        <f>IF(A269="","",B269*$B$4/12)</f>
        <v/>
      </c>
      <c r="D269" s="6">
        <f>IF(A269="","",MIN(B269,$B$6-C269))</f>
        <v/>
      </c>
      <c r="E269" s="6">
        <f>IF(A269="","",MAX(0,B269-D269))</f>
        <v/>
      </c>
      <c r="F269" s="6">
        <f>IF(A269="","",C269+D269)</f>
        <v/>
      </c>
    </row>
    <row r="270">
      <c r="A270" s="6">
        <f>IF(262&lt;=$B$5,262,"")</f>
        <v/>
      </c>
      <c r="B270" s="6">
        <f>IF(A270="","",E269)</f>
        <v/>
      </c>
      <c r="C270" s="6">
        <f>IF(A270="","",B270*$B$4/12)</f>
        <v/>
      </c>
      <c r="D270" s="6">
        <f>IF(A270="","",MIN(B270,$B$6-C270))</f>
        <v/>
      </c>
      <c r="E270" s="6">
        <f>IF(A270="","",MAX(0,B270-D270))</f>
        <v/>
      </c>
      <c r="F270" s="6">
        <f>IF(A270="","",C270+D270)</f>
        <v/>
      </c>
    </row>
    <row r="271">
      <c r="A271" s="6">
        <f>IF(263&lt;=$B$5,263,"")</f>
        <v/>
      </c>
      <c r="B271" s="6">
        <f>IF(A271="","",E270)</f>
        <v/>
      </c>
      <c r="C271" s="6">
        <f>IF(A271="","",B271*$B$4/12)</f>
        <v/>
      </c>
      <c r="D271" s="6">
        <f>IF(A271="","",MIN(B271,$B$6-C271))</f>
        <v/>
      </c>
      <c r="E271" s="6">
        <f>IF(A271="","",MAX(0,B271-D271))</f>
        <v/>
      </c>
      <c r="F271" s="6">
        <f>IF(A271="","",C271+D271)</f>
        <v/>
      </c>
    </row>
    <row r="272">
      <c r="A272" s="6">
        <f>IF(264&lt;=$B$5,264,"")</f>
        <v/>
      </c>
      <c r="B272" s="6">
        <f>IF(A272="","",E271)</f>
        <v/>
      </c>
      <c r="C272" s="6">
        <f>IF(A272="","",B272*$B$4/12)</f>
        <v/>
      </c>
      <c r="D272" s="6">
        <f>IF(A272="","",MIN(B272,$B$6-C272))</f>
        <v/>
      </c>
      <c r="E272" s="6">
        <f>IF(A272="","",MAX(0,B272-D272))</f>
        <v/>
      </c>
      <c r="F272" s="6">
        <f>IF(A272="","",C272+D272)</f>
        <v/>
      </c>
    </row>
    <row r="273">
      <c r="A273" s="6">
        <f>IF(265&lt;=$B$5,265,"")</f>
        <v/>
      </c>
      <c r="B273" s="6">
        <f>IF(A273="","",E272)</f>
        <v/>
      </c>
      <c r="C273" s="6">
        <f>IF(A273="","",B273*$B$4/12)</f>
        <v/>
      </c>
      <c r="D273" s="6">
        <f>IF(A273="","",MIN(B273,$B$6-C273))</f>
        <v/>
      </c>
      <c r="E273" s="6">
        <f>IF(A273="","",MAX(0,B273-D273))</f>
        <v/>
      </c>
      <c r="F273" s="6">
        <f>IF(A273="","",C273+D273)</f>
        <v/>
      </c>
    </row>
    <row r="274">
      <c r="A274" s="6">
        <f>IF(266&lt;=$B$5,266,"")</f>
        <v/>
      </c>
      <c r="B274" s="6">
        <f>IF(A274="","",E273)</f>
        <v/>
      </c>
      <c r="C274" s="6">
        <f>IF(A274="","",B274*$B$4/12)</f>
        <v/>
      </c>
      <c r="D274" s="6">
        <f>IF(A274="","",MIN(B274,$B$6-C274))</f>
        <v/>
      </c>
      <c r="E274" s="6">
        <f>IF(A274="","",MAX(0,B274-D274))</f>
        <v/>
      </c>
      <c r="F274" s="6">
        <f>IF(A274="","",C274+D274)</f>
        <v/>
      </c>
    </row>
    <row r="275">
      <c r="A275" s="6">
        <f>IF(267&lt;=$B$5,267,"")</f>
        <v/>
      </c>
      <c r="B275" s="6">
        <f>IF(A275="","",E274)</f>
        <v/>
      </c>
      <c r="C275" s="6">
        <f>IF(A275="","",B275*$B$4/12)</f>
        <v/>
      </c>
      <c r="D275" s="6">
        <f>IF(A275="","",MIN(B275,$B$6-C275))</f>
        <v/>
      </c>
      <c r="E275" s="6">
        <f>IF(A275="","",MAX(0,B275-D275))</f>
        <v/>
      </c>
      <c r="F275" s="6">
        <f>IF(A275="","",C275+D275)</f>
        <v/>
      </c>
    </row>
    <row r="276">
      <c r="A276" s="6">
        <f>IF(268&lt;=$B$5,268,"")</f>
        <v/>
      </c>
      <c r="B276" s="6">
        <f>IF(A276="","",E275)</f>
        <v/>
      </c>
      <c r="C276" s="6">
        <f>IF(A276="","",B276*$B$4/12)</f>
        <v/>
      </c>
      <c r="D276" s="6">
        <f>IF(A276="","",MIN(B276,$B$6-C276))</f>
        <v/>
      </c>
      <c r="E276" s="6">
        <f>IF(A276="","",MAX(0,B276-D276))</f>
        <v/>
      </c>
      <c r="F276" s="6">
        <f>IF(A276="","",C276+D276)</f>
        <v/>
      </c>
    </row>
    <row r="277">
      <c r="A277" s="6">
        <f>IF(269&lt;=$B$5,269,"")</f>
        <v/>
      </c>
      <c r="B277" s="6">
        <f>IF(A277="","",E276)</f>
        <v/>
      </c>
      <c r="C277" s="6">
        <f>IF(A277="","",B277*$B$4/12)</f>
        <v/>
      </c>
      <c r="D277" s="6">
        <f>IF(A277="","",MIN(B277,$B$6-C277))</f>
        <v/>
      </c>
      <c r="E277" s="6">
        <f>IF(A277="","",MAX(0,B277-D277))</f>
        <v/>
      </c>
      <c r="F277" s="6">
        <f>IF(A277="","",C277+D277)</f>
        <v/>
      </c>
    </row>
    <row r="278">
      <c r="A278" s="6">
        <f>IF(270&lt;=$B$5,270,"")</f>
        <v/>
      </c>
      <c r="B278" s="6">
        <f>IF(A278="","",E277)</f>
        <v/>
      </c>
      <c r="C278" s="6">
        <f>IF(A278="","",B278*$B$4/12)</f>
        <v/>
      </c>
      <c r="D278" s="6">
        <f>IF(A278="","",MIN(B278,$B$6-C278))</f>
        <v/>
      </c>
      <c r="E278" s="6">
        <f>IF(A278="","",MAX(0,B278-D278))</f>
        <v/>
      </c>
      <c r="F278" s="6">
        <f>IF(A278="","",C278+D278)</f>
        <v/>
      </c>
    </row>
    <row r="279">
      <c r="A279" s="6">
        <f>IF(271&lt;=$B$5,271,"")</f>
        <v/>
      </c>
      <c r="B279" s="6">
        <f>IF(A279="","",E278)</f>
        <v/>
      </c>
      <c r="C279" s="6">
        <f>IF(A279="","",B279*$B$4/12)</f>
        <v/>
      </c>
      <c r="D279" s="6">
        <f>IF(A279="","",MIN(B279,$B$6-C279))</f>
        <v/>
      </c>
      <c r="E279" s="6">
        <f>IF(A279="","",MAX(0,B279-D279))</f>
        <v/>
      </c>
      <c r="F279" s="6">
        <f>IF(A279="","",C279+D279)</f>
        <v/>
      </c>
    </row>
    <row r="280">
      <c r="A280" s="6">
        <f>IF(272&lt;=$B$5,272,"")</f>
        <v/>
      </c>
      <c r="B280" s="6">
        <f>IF(A280="","",E279)</f>
        <v/>
      </c>
      <c r="C280" s="6">
        <f>IF(A280="","",B280*$B$4/12)</f>
        <v/>
      </c>
      <c r="D280" s="6">
        <f>IF(A280="","",MIN(B280,$B$6-C280))</f>
        <v/>
      </c>
      <c r="E280" s="6">
        <f>IF(A280="","",MAX(0,B280-D280))</f>
        <v/>
      </c>
      <c r="F280" s="6">
        <f>IF(A280="","",C280+D280)</f>
        <v/>
      </c>
    </row>
    <row r="281">
      <c r="A281" s="6">
        <f>IF(273&lt;=$B$5,273,"")</f>
        <v/>
      </c>
      <c r="B281" s="6">
        <f>IF(A281="","",E280)</f>
        <v/>
      </c>
      <c r="C281" s="6">
        <f>IF(A281="","",B281*$B$4/12)</f>
        <v/>
      </c>
      <c r="D281" s="6">
        <f>IF(A281="","",MIN(B281,$B$6-C281))</f>
        <v/>
      </c>
      <c r="E281" s="6">
        <f>IF(A281="","",MAX(0,B281-D281))</f>
        <v/>
      </c>
      <c r="F281" s="6">
        <f>IF(A281="","",C281+D281)</f>
        <v/>
      </c>
    </row>
    <row r="282">
      <c r="A282" s="6">
        <f>IF(274&lt;=$B$5,274,"")</f>
        <v/>
      </c>
      <c r="B282" s="6">
        <f>IF(A282="","",E281)</f>
        <v/>
      </c>
      <c r="C282" s="6">
        <f>IF(A282="","",B282*$B$4/12)</f>
        <v/>
      </c>
      <c r="D282" s="6">
        <f>IF(A282="","",MIN(B282,$B$6-C282))</f>
        <v/>
      </c>
      <c r="E282" s="6">
        <f>IF(A282="","",MAX(0,B282-D282))</f>
        <v/>
      </c>
      <c r="F282" s="6">
        <f>IF(A282="","",C282+D282)</f>
        <v/>
      </c>
    </row>
    <row r="283">
      <c r="A283" s="6">
        <f>IF(275&lt;=$B$5,275,"")</f>
        <v/>
      </c>
      <c r="B283" s="6">
        <f>IF(A283="","",E282)</f>
        <v/>
      </c>
      <c r="C283" s="6">
        <f>IF(A283="","",B283*$B$4/12)</f>
        <v/>
      </c>
      <c r="D283" s="6">
        <f>IF(A283="","",MIN(B283,$B$6-C283))</f>
        <v/>
      </c>
      <c r="E283" s="6">
        <f>IF(A283="","",MAX(0,B283-D283))</f>
        <v/>
      </c>
      <c r="F283" s="6">
        <f>IF(A283="","",C283+D283)</f>
        <v/>
      </c>
    </row>
    <row r="284">
      <c r="A284" s="6">
        <f>IF(276&lt;=$B$5,276,"")</f>
        <v/>
      </c>
      <c r="B284" s="6">
        <f>IF(A284="","",E283)</f>
        <v/>
      </c>
      <c r="C284" s="6">
        <f>IF(A284="","",B284*$B$4/12)</f>
        <v/>
      </c>
      <c r="D284" s="6">
        <f>IF(A284="","",MIN(B284,$B$6-C284))</f>
        <v/>
      </c>
      <c r="E284" s="6">
        <f>IF(A284="","",MAX(0,B284-D284))</f>
        <v/>
      </c>
      <c r="F284" s="6">
        <f>IF(A284="","",C284+D284)</f>
        <v/>
      </c>
    </row>
    <row r="285">
      <c r="A285" s="6">
        <f>IF(277&lt;=$B$5,277,"")</f>
        <v/>
      </c>
      <c r="B285" s="6">
        <f>IF(A285="","",E284)</f>
        <v/>
      </c>
      <c r="C285" s="6">
        <f>IF(A285="","",B285*$B$4/12)</f>
        <v/>
      </c>
      <c r="D285" s="6">
        <f>IF(A285="","",MIN(B285,$B$6-C285))</f>
        <v/>
      </c>
      <c r="E285" s="6">
        <f>IF(A285="","",MAX(0,B285-D285))</f>
        <v/>
      </c>
      <c r="F285" s="6">
        <f>IF(A285="","",C285+D285)</f>
        <v/>
      </c>
    </row>
    <row r="286">
      <c r="A286" s="6">
        <f>IF(278&lt;=$B$5,278,"")</f>
        <v/>
      </c>
      <c r="B286" s="6">
        <f>IF(A286="","",E285)</f>
        <v/>
      </c>
      <c r="C286" s="6">
        <f>IF(A286="","",B286*$B$4/12)</f>
        <v/>
      </c>
      <c r="D286" s="6">
        <f>IF(A286="","",MIN(B286,$B$6-C286))</f>
        <v/>
      </c>
      <c r="E286" s="6">
        <f>IF(A286="","",MAX(0,B286-D286))</f>
        <v/>
      </c>
      <c r="F286" s="6">
        <f>IF(A286="","",C286+D286)</f>
        <v/>
      </c>
    </row>
    <row r="287">
      <c r="A287" s="6">
        <f>IF(279&lt;=$B$5,279,"")</f>
        <v/>
      </c>
      <c r="B287" s="6">
        <f>IF(A287="","",E286)</f>
        <v/>
      </c>
      <c r="C287" s="6">
        <f>IF(A287="","",B287*$B$4/12)</f>
        <v/>
      </c>
      <c r="D287" s="6">
        <f>IF(A287="","",MIN(B287,$B$6-C287))</f>
        <v/>
      </c>
      <c r="E287" s="6">
        <f>IF(A287="","",MAX(0,B287-D287))</f>
        <v/>
      </c>
      <c r="F287" s="6">
        <f>IF(A287="","",C287+D287)</f>
        <v/>
      </c>
    </row>
    <row r="288">
      <c r="A288" s="6">
        <f>IF(280&lt;=$B$5,280,"")</f>
        <v/>
      </c>
      <c r="B288" s="6">
        <f>IF(A288="","",E287)</f>
        <v/>
      </c>
      <c r="C288" s="6">
        <f>IF(A288="","",B288*$B$4/12)</f>
        <v/>
      </c>
      <c r="D288" s="6">
        <f>IF(A288="","",MIN(B288,$B$6-C288))</f>
        <v/>
      </c>
      <c r="E288" s="6">
        <f>IF(A288="","",MAX(0,B288-D288))</f>
        <v/>
      </c>
      <c r="F288" s="6">
        <f>IF(A288="","",C288+D288)</f>
        <v/>
      </c>
    </row>
    <row r="289">
      <c r="A289" s="6">
        <f>IF(281&lt;=$B$5,281,"")</f>
        <v/>
      </c>
      <c r="B289" s="6">
        <f>IF(A289="","",E288)</f>
        <v/>
      </c>
      <c r="C289" s="6">
        <f>IF(A289="","",B289*$B$4/12)</f>
        <v/>
      </c>
      <c r="D289" s="6">
        <f>IF(A289="","",MIN(B289,$B$6-C289))</f>
        <v/>
      </c>
      <c r="E289" s="6">
        <f>IF(A289="","",MAX(0,B289-D289))</f>
        <v/>
      </c>
      <c r="F289" s="6">
        <f>IF(A289="","",C289+D289)</f>
        <v/>
      </c>
    </row>
    <row r="290">
      <c r="A290" s="6">
        <f>IF(282&lt;=$B$5,282,"")</f>
        <v/>
      </c>
      <c r="B290" s="6">
        <f>IF(A290="","",E289)</f>
        <v/>
      </c>
      <c r="C290" s="6">
        <f>IF(A290="","",B290*$B$4/12)</f>
        <v/>
      </c>
      <c r="D290" s="6">
        <f>IF(A290="","",MIN(B290,$B$6-C290))</f>
        <v/>
      </c>
      <c r="E290" s="6">
        <f>IF(A290="","",MAX(0,B290-D290))</f>
        <v/>
      </c>
      <c r="F290" s="6">
        <f>IF(A290="","",C290+D290)</f>
        <v/>
      </c>
    </row>
    <row r="291">
      <c r="A291" s="6">
        <f>IF(283&lt;=$B$5,283,"")</f>
        <v/>
      </c>
      <c r="B291" s="6">
        <f>IF(A291="","",E290)</f>
        <v/>
      </c>
      <c r="C291" s="6">
        <f>IF(A291="","",B291*$B$4/12)</f>
        <v/>
      </c>
      <c r="D291" s="6">
        <f>IF(A291="","",MIN(B291,$B$6-C291))</f>
        <v/>
      </c>
      <c r="E291" s="6">
        <f>IF(A291="","",MAX(0,B291-D291))</f>
        <v/>
      </c>
      <c r="F291" s="6">
        <f>IF(A291="","",C291+D291)</f>
        <v/>
      </c>
    </row>
    <row r="292">
      <c r="A292" s="6">
        <f>IF(284&lt;=$B$5,284,"")</f>
        <v/>
      </c>
      <c r="B292" s="6">
        <f>IF(A292="","",E291)</f>
        <v/>
      </c>
      <c r="C292" s="6">
        <f>IF(A292="","",B292*$B$4/12)</f>
        <v/>
      </c>
      <c r="D292" s="6">
        <f>IF(A292="","",MIN(B292,$B$6-C292))</f>
        <v/>
      </c>
      <c r="E292" s="6">
        <f>IF(A292="","",MAX(0,B292-D292))</f>
        <v/>
      </c>
      <c r="F292" s="6">
        <f>IF(A292="","",C292+D292)</f>
        <v/>
      </c>
    </row>
    <row r="293">
      <c r="A293" s="6">
        <f>IF(285&lt;=$B$5,285,"")</f>
        <v/>
      </c>
      <c r="B293" s="6">
        <f>IF(A293="","",E292)</f>
        <v/>
      </c>
      <c r="C293" s="6">
        <f>IF(A293="","",B293*$B$4/12)</f>
        <v/>
      </c>
      <c r="D293" s="6">
        <f>IF(A293="","",MIN(B293,$B$6-C293))</f>
        <v/>
      </c>
      <c r="E293" s="6">
        <f>IF(A293="","",MAX(0,B293-D293))</f>
        <v/>
      </c>
      <c r="F293" s="6">
        <f>IF(A293="","",C293+D293)</f>
        <v/>
      </c>
    </row>
    <row r="294">
      <c r="A294" s="6">
        <f>IF(286&lt;=$B$5,286,"")</f>
        <v/>
      </c>
      <c r="B294" s="6">
        <f>IF(A294="","",E293)</f>
        <v/>
      </c>
      <c r="C294" s="6">
        <f>IF(A294="","",B294*$B$4/12)</f>
        <v/>
      </c>
      <c r="D294" s="6">
        <f>IF(A294="","",MIN(B294,$B$6-C294))</f>
        <v/>
      </c>
      <c r="E294" s="6">
        <f>IF(A294="","",MAX(0,B294-D294))</f>
        <v/>
      </c>
      <c r="F294" s="6">
        <f>IF(A294="","",C294+D294)</f>
        <v/>
      </c>
    </row>
    <row r="295">
      <c r="A295" s="6">
        <f>IF(287&lt;=$B$5,287,"")</f>
        <v/>
      </c>
      <c r="B295" s="6">
        <f>IF(A295="","",E294)</f>
        <v/>
      </c>
      <c r="C295" s="6">
        <f>IF(A295="","",B295*$B$4/12)</f>
        <v/>
      </c>
      <c r="D295" s="6">
        <f>IF(A295="","",MIN(B295,$B$6-C295))</f>
        <v/>
      </c>
      <c r="E295" s="6">
        <f>IF(A295="","",MAX(0,B295-D295))</f>
        <v/>
      </c>
      <c r="F295" s="6">
        <f>IF(A295="","",C295+D295)</f>
        <v/>
      </c>
    </row>
    <row r="296">
      <c r="A296" s="6">
        <f>IF(288&lt;=$B$5,288,"")</f>
        <v/>
      </c>
      <c r="B296" s="6">
        <f>IF(A296="","",E295)</f>
        <v/>
      </c>
      <c r="C296" s="6">
        <f>IF(A296="","",B296*$B$4/12)</f>
        <v/>
      </c>
      <c r="D296" s="6">
        <f>IF(A296="","",MIN(B296,$B$6-C296))</f>
        <v/>
      </c>
      <c r="E296" s="6">
        <f>IF(A296="","",MAX(0,B296-D296))</f>
        <v/>
      </c>
      <c r="F296" s="6">
        <f>IF(A296="","",C296+D296)</f>
        <v/>
      </c>
    </row>
    <row r="297">
      <c r="A297" s="6">
        <f>IF(289&lt;=$B$5,289,"")</f>
        <v/>
      </c>
      <c r="B297" s="6">
        <f>IF(A297="","",E296)</f>
        <v/>
      </c>
      <c r="C297" s="6">
        <f>IF(A297="","",B297*$B$4/12)</f>
        <v/>
      </c>
      <c r="D297" s="6">
        <f>IF(A297="","",MIN(B297,$B$6-C297))</f>
        <v/>
      </c>
      <c r="E297" s="6">
        <f>IF(A297="","",MAX(0,B297-D297))</f>
        <v/>
      </c>
      <c r="F297" s="6">
        <f>IF(A297="","",C297+D297)</f>
        <v/>
      </c>
    </row>
    <row r="298">
      <c r="A298" s="6">
        <f>IF(290&lt;=$B$5,290,"")</f>
        <v/>
      </c>
      <c r="B298" s="6">
        <f>IF(A298="","",E297)</f>
        <v/>
      </c>
      <c r="C298" s="6">
        <f>IF(A298="","",B298*$B$4/12)</f>
        <v/>
      </c>
      <c r="D298" s="6">
        <f>IF(A298="","",MIN(B298,$B$6-C298))</f>
        <v/>
      </c>
      <c r="E298" s="6">
        <f>IF(A298="","",MAX(0,B298-D298))</f>
        <v/>
      </c>
      <c r="F298" s="6">
        <f>IF(A298="","",C298+D298)</f>
        <v/>
      </c>
    </row>
    <row r="299">
      <c r="A299" s="6">
        <f>IF(291&lt;=$B$5,291,"")</f>
        <v/>
      </c>
      <c r="B299" s="6">
        <f>IF(A299="","",E298)</f>
        <v/>
      </c>
      <c r="C299" s="6">
        <f>IF(A299="","",B299*$B$4/12)</f>
        <v/>
      </c>
      <c r="D299" s="6">
        <f>IF(A299="","",MIN(B299,$B$6-C299))</f>
        <v/>
      </c>
      <c r="E299" s="6">
        <f>IF(A299="","",MAX(0,B299-D299))</f>
        <v/>
      </c>
      <c r="F299" s="6">
        <f>IF(A299="","",C299+D299)</f>
        <v/>
      </c>
    </row>
    <row r="300">
      <c r="A300" s="6">
        <f>IF(292&lt;=$B$5,292,"")</f>
        <v/>
      </c>
      <c r="B300" s="6">
        <f>IF(A300="","",E299)</f>
        <v/>
      </c>
      <c r="C300" s="6">
        <f>IF(A300="","",B300*$B$4/12)</f>
        <v/>
      </c>
      <c r="D300" s="6">
        <f>IF(A300="","",MIN(B300,$B$6-C300))</f>
        <v/>
      </c>
      <c r="E300" s="6">
        <f>IF(A300="","",MAX(0,B300-D300))</f>
        <v/>
      </c>
      <c r="F300" s="6">
        <f>IF(A300="","",C300+D300)</f>
        <v/>
      </c>
    </row>
    <row r="301">
      <c r="A301" s="6">
        <f>IF(293&lt;=$B$5,293,"")</f>
        <v/>
      </c>
      <c r="B301" s="6">
        <f>IF(A301="","",E300)</f>
        <v/>
      </c>
      <c r="C301" s="6">
        <f>IF(A301="","",B301*$B$4/12)</f>
        <v/>
      </c>
      <c r="D301" s="6">
        <f>IF(A301="","",MIN(B301,$B$6-C301))</f>
        <v/>
      </c>
      <c r="E301" s="6">
        <f>IF(A301="","",MAX(0,B301-D301))</f>
        <v/>
      </c>
      <c r="F301" s="6">
        <f>IF(A301="","",C301+D301)</f>
        <v/>
      </c>
    </row>
    <row r="302">
      <c r="A302" s="6">
        <f>IF(294&lt;=$B$5,294,"")</f>
        <v/>
      </c>
      <c r="B302" s="6">
        <f>IF(A302="","",E301)</f>
        <v/>
      </c>
      <c r="C302" s="6">
        <f>IF(A302="","",B302*$B$4/12)</f>
        <v/>
      </c>
      <c r="D302" s="6">
        <f>IF(A302="","",MIN(B302,$B$6-C302))</f>
        <v/>
      </c>
      <c r="E302" s="6">
        <f>IF(A302="","",MAX(0,B302-D302))</f>
        <v/>
      </c>
      <c r="F302" s="6">
        <f>IF(A302="","",C302+D302)</f>
        <v/>
      </c>
    </row>
    <row r="303">
      <c r="A303" s="6">
        <f>IF(295&lt;=$B$5,295,"")</f>
        <v/>
      </c>
      <c r="B303" s="6">
        <f>IF(A303="","",E302)</f>
        <v/>
      </c>
      <c r="C303" s="6">
        <f>IF(A303="","",B303*$B$4/12)</f>
        <v/>
      </c>
      <c r="D303" s="6">
        <f>IF(A303="","",MIN(B303,$B$6-C303))</f>
        <v/>
      </c>
      <c r="E303" s="6">
        <f>IF(A303="","",MAX(0,B303-D303))</f>
        <v/>
      </c>
      <c r="F303" s="6">
        <f>IF(A303="","",C303+D303)</f>
        <v/>
      </c>
    </row>
    <row r="304">
      <c r="A304" s="6">
        <f>IF(296&lt;=$B$5,296,"")</f>
        <v/>
      </c>
      <c r="B304" s="6">
        <f>IF(A304="","",E303)</f>
        <v/>
      </c>
      <c r="C304" s="6">
        <f>IF(A304="","",B304*$B$4/12)</f>
        <v/>
      </c>
      <c r="D304" s="6">
        <f>IF(A304="","",MIN(B304,$B$6-C304))</f>
        <v/>
      </c>
      <c r="E304" s="6">
        <f>IF(A304="","",MAX(0,B304-D304))</f>
        <v/>
      </c>
      <c r="F304" s="6">
        <f>IF(A304="","",C304+D304)</f>
        <v/>
      </c>
    </row>
    <row r="305">
      <c r="A305" s="6">
        <f>IF(297&lt;=$B$5,297,"")</f>
        <v/>
      </c>
      <c r="B305" s="6">
        <f>IF(A305="","",E304)</f>
        <v/>
      </c>
      <c r="C305" s="6">
        <f>IF(A305="","",B305*$B$4/12)</f>
        <v/>
      </c>
      <c r="D305" s="6">
        <f>IF(A305="","",MIN(B305,$B$6-C305))</f>
        <v/>
      </c>
      <c r="E305" s="6">
        <f>IF(A305="","",MAX(0,B305-D305))</f>
        <v/>
      </c>
      <c r="F305" s="6">
        <f>IF(A305="","",C305+D305)</f>
        <v/>
      </c>
    </row>
    <row r="306">
      <c r="A306" s="6">
        <f>IF(298&lt;=$B$5,298,"")</f>
        <v/>
      </c>
      <c r="B306" s="6">
        <f>IF(A306="","",E305)</f>
        <v/>
      </c>
      <c r="C306" s="6">
        <f>IF(A306="","",B306*$B$4/12)</f>
        <v/>
      </c>
      <c r="D306" s="6">
        <f>IF(A306="","",MIN(B306,$B$6-C306))</f>
        <v/>
      </c>
      <c r="E306" s="6">
        <f>IF(A306="","",MAX(0,B306-D306))</f>
        <v/>
      </c>
      <c r="F306" s="6">
        <f>IF(A306="","",C306+D306)</f>
        <v/>
      </c>
    </row>
    <row r="307">
      <c r="A307" s="6">
        <f>IF(299&lt;=$B$5,299,"")</f>
        <v/>
      </c>
      <c r="B307" s="6">
        <f>IF(A307="","",E306)</f>
        <v/>
      </c>
      <c r="C307" s="6">
        <f>IF(A307="","",B307*$B$4/12)</f>
        <v/>
      </c>
      <c r="D307" s="6">
        <f>IF(A307="","",MIN(B307,$B$6-C307))</f>
        <v/>
      </c>
      <c r="E307" s="6">
        <f>IF(A307="","",MAX(0,B307-D307))</f>
        <v/>
      </c>
      <c r="F307" s="6">
        <f>IF(A307="","",C307+D307)</f>
        <v/>
      </c>
    </row>
    <row r="308">
      <c r="A308" s="6">
        <f>IF(300&lt;=$B$5,300,"")</f>
        <v/>
      </c>
      <c r="B308" s="6">
        <f>IF(A308="","",E307)</f>
        <v/>
      </c>
      <c r="C308" s="6">
        <f>IF(A308="","",B308*$B$4/12)</f>
        <v/>
      </c>
      <c r="D308" s="6">
        <f>IF(A308="","",MIN(B308,$B$6-C308))</f>
        <v/>
      </c>
      <c r="E308" s="6">
        <f>IF(A308="","",MAX(0,B308-D308))</f>
        <v/>
      </c>
      <c r="F308" s="6">
        <f>IF(A308="","",C308+D308)</f>
        <v/>
      </c>
    </row>
    <row r="309">
      <c r="A309" s="6">
        <f>IF(301&lt;=$B$5,301,"")</f>
        <v/>
      </c>
      <c r="B309" s="6">
        <f>IF(A309="","",E308)</f>
        <v/>
      </c>
      <c r="C309" s="6">
        <f>IF(A309="","",B309*$B$4/12)</f>
        <v/>
      </c>
      <c r="D309" s="6">
        <f>IF(A309="","",MIN(B309,$B$6-C309))</f>
        <v/>
      </c>
      <c r="E309" s="6">
        <f>IF(A309="","",MAX(0,B309-D309))</f>
        <v/>
      </c>
      <c r="F309" s="6">
        <f>IF(A309="","",C309+D309)</f>
        <v/>
      </c>
    </row>
    <row r="310">
      <c r="A310" s="6">
        <f>IF(302&lt;=$B$5,302,"")</f>
        <v/>
      </c>
      <c r="B310" s="6">
        <f>IF(A310="","",E309)</f>
        <v/>
      </c>
      <c r="C310" s="6">
        <f>IF(A310="","",B310*$B$4/12)</f>
        <v/>
      </c>
      <c r="D310" s="6">
        <f>IF(A310="","",MIN(B310,$B$6-C310))</f>
        <v/>
      </c>
      <c r="E310" s="6">
        <f>IF(A310="","",MAX(0,B310-D310))</f>
        <v/>
      </c>
      <c r="F310" s="6">
        <f>IF(A310="","",C310+D310)</f>
        <v/>
      </c>
    </row>
    <row r="311">
      <c r="A311" s="6">
        <f>IF(303&lt;=$B$5,303,"")</f>
        <v/>
      </c>
      <c r="B311" s="6">
        <f>IF(A311="","",E310)</f>
        <v/>
      </c>
      <c r="C311" s="6">
        <f>IF(A311="","",B311*$B$4/12)</f>
        <v/>
      </c>
      <c r="D311" s="6">
        <f>IF(A311="","",MIN(B311,$B$6-C311))</f>
        <v/>
      </c>
      <c r="E311" s="6">
        <f>IF(A311="","",MAX(0,B311-D311))</f>
        <v/>
      </c>
      <c r="F311" s="6">
        <f>IF(A311="","",C311+D311)</f>
        <v/>
      </c>
    </row>
    <row r="312">
      <c r="A312" s="6">
        <f>IF(304&lt;=$B$5,304,"")</f>
        <v/>
      </c>
      <c r="B312" s="6">
        <f>IF(A312="","",E311)</f>
        <v/>
      </c>
      <c r="C312" s="6">
        <f>IF(A312="","",B312*$B$4/12)</f>
        <v/>
      </c>
      <c r="D312" s="6">
        <f>IF(A312="","",MIN(B312,$B$6-C312))</f>
        <v/>
      </c>
      <c r="E312" s="6">
        <f>IF(A312="","",MAX(0,B312-D312))</f>
        <v/>
      </c>
      <c r="F312" s="6">
        <f>IF(A312="","",C312+D312)</f>
        <v/>
      </c>
    </row>
    <row r="313">
      <c r="A313" s="6">
        <f>IF(305&lt;=$B$5,305,"")</f>
        <v/>
      </c>
      <c r="B313" s="6">
        <f>IF(A313="","",E312)</f>
        <v/>
      </c>
      <c r="C313" s="6">
        <f>IF(A313="","",B313*$B$4/12)</f>
        <v/>
      </c>
      <c r="D313" s="6">
        <f>IF(A313="","",MIN(B313,$B$6-C313))</f>
        <v/>
      </c>
      <c r="E313" s="6">
        <f>IF(A313="","",MAX(0,B313-D313))</f>
        <v/>
      </c>
      <c r="F313" s="6">
        <f>IF(A313="","",C313+D313)</f>
        <v/>
      </c>
    </row>
    <row r="314">
      <c r="A314" s="6">
        <f>IF(306&lt;=$B$5,306,"")</f>
        <v/>
      </c>
      <c r="B314" s="6">
        <f>IF(A314="","",E313)</f>
        <v/>
      </c>
      <c r="C314" s="6">
        <f>IF(A314="","",B314*$B$4/12)</f>
        <v/>
      </c>
      <c r="D314" s="6">
        <f>IF(A314="","",MIN(B314,$B$6-C314))</f>
        <v/>
      </c>
      <c r="E314" s="6">
        <f>IF(A314="","",MAX(0,B314-D314))</f>
        <v/>
      </c>
      <c r="F314" s="6">
        <f>IF(A314="","",C314+D314)</f>
        <v/>
      </c>
    </row>
    <row r="315">
      <c r="A315" s="6">
        <f>IF(307&lt;=$B$5,307,"")</f>
        <v/>
      </c>
      <c r="B315" s="6">
        <f>IF(A315="","",E314)</f>
        <v/>
      </c>
      <c r="C315" s="6">
        <f>IF(A315="","",B315*$B$4/12)</f>
        <v/>
      </c>
      <c r="D315" s="6">
        <f>IF(A315="","",MIN(B315,$B$6-C315))</f>
        <v/>
      </c>
      <c r="E315" s="6">
        <f>IF(A315="","",MAX(0,B315-D315))</f>
        <v/>
      </c>
      <c r="F315" s="6">
        <f>IF(A315="","",C315+D315)</f>
        <v/>
      </c>
    </row>
    <row r="316">
      <c r="A316" s="6">
        <f>IF(308&lt;=$B$5,308,"")</f>
        <v/>
      </c>
      <c r="B316" s="6">
        <f>IF(A316="","",E315)</f>
        <v/>
      </c>
      <c r="C316" s="6">
        <f>IF(A316="","",B316*$B$4/12)</f>
        <v/>
      </c>
      <c r="D316" s="6">
        <f>IF(A316="","",MIN(B316,$B$6-C316))</f>
        <v/>
      </c>
      <c r="E316" s="6">
        <f>IF(A316="","",MAX(0,B316-D316))</f>
        <v/>
      </c>
      <c r="F316" s="6">
        <f>IF(A316="","",C316+D316)</f>
        <v/>
      </c>
    </row>
    <row r="317">
      <c r="A317" s="6">
        <f>IF(309&lt;=$B$5,309,"")</f>
        <v/>
      </c>
      <c r="B317" s="6">
        <f>IF(A317="","",E316)</f>
        <v/>
      </c>
      <c r="C317" s="6">
        <f>IF(A317="","",B317*$B$4/12)</f>
        <v/>
      </c>
      <c r="D317" s="6">
        <f>IF(A317="","",MIN(B317,$B$6-C317))</f>
        <v/>
      </c>
      <c r="E317" s="6">
        <f>IF(A317="","",MAX(0,B317-D317))</f>
        <v/>
      </c>
      <c r="F317" s="6">
        <f>IF(A317="","",C317+D317)</f>
        <v/>
      </c>
    </row>
    <row r="318">
      <c r="A318" s="6">
        <f>IF(310&lt;=$B$5,310,"")</f>
        <v/>
      </c>
      <c r="B318" s="6">
        <f>IF(A318="","",E317)</f>
        <v/>
      </c>
      <c r="C318" s="6">
        <f>IF(A318="","",B318*$B$4/12)</f>
        <v/>
      </c>
      <c r="D318" s="6">
        <f>IF(A318="","",MIN(B318,$B$6-C318))</f>
        <v/>
      </c>
      <c r="E318" s="6">
        <f>IF(A318="","",MAX(0,B318-D318))</f>
        <v/>
      </c>
      <c r="F318" s="6">
        <f>IF(A318="","",C318+D318)</f>
        <v/>
      </c>
    </row>
    <row r="319">
      <c r="A319" s="6">
        <f>IF(311&lt;=$B$5,311,"")</f>
        <v/>
      </c>
      <c r="B319" s="6">
        <f>IF(A319="","",E318)</f>
        <v/>
      </c>
      <c r="C319" s="6">
        <f>IF(A319="","",B319*$B$4/12)</f>
        <v/>
      </c>
      <c r="D319" s="6">
        <f>IF(A319="","",MIN(B319,$B$6-C319))</f>
        <v/>
      </c>
      <c r="E319" s="6">
        <f>IF(A319="","",MAX(0,B319-D319))</f>
        <v/>
      </c>
      <c r="F319" s="6">
        <f>IF(A319="","",C319+D319)</f>
        <v/>
      </c>
    </row>
    <row r="320">
      <c r="A320" s="6">
        <f>IF(312&lt;=$B$5,312,"")</f>
        <v/>
      </c>
      <c r="B320" s="6">
        <f>IF(A320="","",E319)</f>
        <v/>
      </c>
      <c r="C320" s="6">
        <f>IF(A320="","",B320*$B$4/12)</f>
        <v/>
      </c>
      <c r="D320" s="6">
        <f>IF(A320="","",MIN(B320,$B$6-C320))</f>
        <v/>
      </c>
      <c r="E320" s="6">
        <f>IF(A320="","",MAX(0,B320-D320))</f>
        <v/>
      </c>
      <c r="F320" s="6">
        <f>IF(A320="","",C320+D320)</f>
        <v/>
      </c>
    </row>
    <row r="321">
      <c r="A321" s="6">
        <f>IF(313&lt;=$B$5,313,"")</f>
        <v/>
      </c>
      <c r="B321" s="6">
        <f>IF(A321="","",E320)</f>
        <v/>
      </c>
      <c r="C321" s="6">
        <f>IF(A321="","",B321*$B$4/12)</f>
        <v/>
      </c>
      <c r="D321" s="6">
        <f>IF(A321="","",MIN(B321,$B$6-C321))</f>
        <v/>
      </c>
      <c r="E321" s="6">
        <f>IF(A321="","",MAX(0,B321-D321))</f>
        <v/>
      </c>
      <c r="F321" s="6">
        <f>IF(A321="","",C321+D321)</f>
        <v/>
      </c>
    </row>
    <row r="322">
      <c r="A322" s="6">
        <f>IF(314&lt;=$B$5,314,"")</f>
        <v/>
      </c>
      <c r="B322" s="6">
        <f>IF(A322="","",E321)</f>
        <v/>
      </c>
      <c r="C322" s="6">
        <f>IF(A322="","",B322*$B$4/12)</f>
        <v/>
      </c>
      <c r="D322" s="6">
        <f>IF(A322="","",MIN(B322,$B$6-C322))</f>
        <v/>
      </c>
      <c r="E322" s="6">
        <f>IF(A322="","",MAX(0,B322-D322))</f>
        <v/>
      </c>
      <c r="F322" s="6">
        <f>IF(A322="","",C322+D322)</f>
        <v/>
      </c>
    </row>
    <row r="323">
      <c r="A323" s="6">
        <f>IF(315&lt;=$B$5,315,"")</f>
        <v/>
      </c>
      <c r="B323" s="6">
        <f>IF(A323="","",E322)</f>
        <v/>
      </c>
      <c r="C323" s="6">
        <f>IF(A323="","",B323*$B$4/12)</f>
        <v/>
      </c>
      <c r="D323" s="6">
        <f>IF(A323="","",MIN(B323,$B$6-C323))</f>
        <v/>
      </c>
      <c r="E323" s="6">
        <f>IF(A323="","",MAX(0,B323-D323))</f>
        <v/>
      </c>
      <c r="F323" s="6">
        <f>IF(A323="","",C323+D323)</f>
        <v/>
      </c>
    </row>
    <row r="324">
      <c r="A324" s="6">
        <f>IF(316&lt;=$B$5,316,"")</f>
        <v/>
      </c>
      <c r="B324" s="6">
        <f>IF(A324="","",E323)</f>
        <v/>
      </c>
      <c r="C324" s="6">
        <f>IF(A324="","",B324*$B$4/12)</f>
        <v/>
      </c>
      <c r="D324" s="6">
        <f>IF(A324="","",MIN(B324,$B$6-C324))</f>
        <v/>
      </c>
      <c r="E324" s="6">
        <f>IF(A324="","",MAX(0,B324-D324))</f>
        <v/>
      </c>
      <c r="F324" s="6">
        <f>IF(A324="","",C324+D324)</f>
        <v/>
      </c>
    </row>
    <row r="325">
      <c r="A325" s="6">
        <f>IF(317&lt;=$B$5,317,"")</f>
        <v/>
      </c>
      <c r="B325" s="6">
        <f>IF(A325="","",E324)</f>
        <v/>
      </c>
      <c r="C325" s="6">
        <f>IF(A325="","",B325*$B$4/12)</f>
        <v/>
      </c>
      <c r="D325" s="6">
        <f>IF(A325="","",MIN(B325,$B$6-C325))</f>
        <v/>
      </c>
      <c r="E325" s="6">
        <f>IF(A325="","",MAX(0,B325-D325))</f>
        <v/>
      </c>
      <c r="F325" s="6">
        <f>IF(A325="","",C325+D325)</f>
        <v/>
      </c>
    </row>
    <row r="326">
      <c r="A326" s="6">
        <f>IF(318&lt;=$B$5,318,"")</f>
        <v/>
      </c>
      <c r="B326" s="6">
        <f>IF(A326="","",E325)</f>
        <v/>
      </c>
      <c r="C326" s="6">
        <f>IF(A326="","",B326*$B$4/12)</f>
        <v/>
      </c>
      <c r="D326" s="6">
        <f>IF(A326="","",MIN(B326,$B$6-C326))</f>
        <v/>
      </c>
      <c r="E326" s="6">
        <f>IF(A326="","",MAX(0,B326-D326))</f>
        <v/>
      </c>
      <c r="F326" s="6">
        <f>IF(A326="","",C326+D326)</f>
        <v/>
      </c>
    </row>
    <row r="327">
      <c r="A327" s="6">
        <f>IF(319&lt;=$B$5,319,"")</f>
        <v/>
      </c>
      <c r="B327" s="6">
        <f>IF(A327="","",E326)</f>
        <v/>
      </c>
      <c r="C327" s="6">
        <f>IF(A327="","",B327*$B$4/12)</f>
        <v/>
      </c>
      <c r="D327" s="6">
        <f>IF(A327="","",MIN(B327,$B$6-C327))</f>
        <v/>
      </c>
      <c r="E327" s="6">
        <f>IF(A327="","",MAX(0,B327-D327))</f>
        <v/>
      </c>
      <c r="F327" s="6">
        <f>IF(A327="","",C327+D327)</f>
        <v/>
      </c>
    </row>
    <row r="328">
      <c r="A328" s="6">
        <f>IF(320&lt;=$B$5,320,"")</f>
        <v/>
      </c>
      <c r="B328" s="6">
        <f>IF(A328="","",E327)</f>
        <v/>
      </c>
      <c r="C328" s="6">
        <f>IF(A328="","",B328*$B$4/12)</f>
        <v/>
      </c>
      <c r="D328" s="6">
        <f>IF(A328="","",MIN(B328,$B$6-C328))</f>
        <v/>
      </c>
      <c r="E328" s="6">
        <f>IF(A328="","",MAX(0,B328-D328))</f>
        <v/>
      </c>
      <c r="F328" s="6">
        <f>IF(A328="","",C328+D328)</f>
        <v/>
      </c>
    </row>
    <row r="329">
      <c r="A329" s="6">
        <f>IF(321&lt;=$B$5,321,"")</f>
        <v/>
      </c>
      <c r="B329" s="6">
        <f>IF(A329="","",E328)</f>
        <v/>
      </c>
      <c r="C329" s="6">
        <f>IF(A329="","",B329*$B$4/12)</f>
        <v/>
      </c>
      <c r="D329" s="6">
        <f>IF(A329="","",MIN(B329,$B$6-C329))</f>
        <v/>
      </c>
      <c r="E329" s="6">
        <f>IF(A329="","",MAX(0,B329-D329))</f>
        <v/>
      </c>
      <c r="F329" s="6">
        <f>IF(A329="","",C329+D329)</f>
        <v/>
      </c>
    </row>
    <row r="330">
      <c r="A330" s="6">
        <f>IF(322&lt;=$B$5,322,"")</f>
        <v/>
      </c>
      <c r="B330" s="6">
        <f>IF(A330="","",E329)</f>
        <v/>
      </c>
      <c r="C330" s="6">
        <f>IF(A330="","",B330*$B$4/12)</f>
        <v/>
      </c>
      <c r="D330" s="6">
        <f>IF(A330="","",MIN(B330,$B$6-C330))</f>
        <v/>
      </c>
      <c r="E330" s="6">
        <f>IF(A330="","",MAX(0,B330-D330))</f>
        <v/>
      </c>
      <c r="F330" s="6">
        <f>IF(A330="","",C330+D330)</f>
        <v/>
      </c>
    </row>
    <row r="331">
      <c r="A331" s="6">
        <f>IF(323&lt;=$B$5,323,"")</f>
        <v/>
      </c>
      <c r="B331" s="6">
        <f>IF(A331="","",E330)</f>
        <v/>
      </c>
      <c r="C331" s="6">
        <f>IF(A331="","",B331*$B$4/12)</f>
        <v/>
      </c>
      <c r="D331" s="6">
        <f>IF(A331="","",MIN(B331,$B$6-C331))</f>
        <v/>
      </c>
      <c r="E331" s="6">
        <f>IF(A331="","",MAX(0,B331-D331))</f>
        <v/>
      </c>
      <c r="F331" s="6">
        <f>IF(A331="","",C331+D331)</f>
        <v/>
      </c>
    </row>
    <row r="332">
      <c r="A332" s="6">
        <f>IF(324&lt;=$B$5,324,"")</f>
        <v/>
      </c>
      <c r="B332" s="6">
        <f>IF(A332="","",E331)</f>
        <v/>
      </c>
      <c r="C332" s="6">
        <f>IF(A332="","",B332*$B$4/12)</f>
        <v/>
      </c>
      <c r="D332" s="6">
        <f>IF(A332="","",MIN(B332,$B$6-C332))</f>
        <v/>
      </c>
      <c r="E332" s="6">
        <f>IF(A332="","",MAX(0,B332-D332))</f>
        <v/>
      </c>
      <c r="F332" s="6">
        <f>IF(A332="","",C332+D332)</f>
        <v/>
      </c>
    </row>
    <row r="333">
      <c r="A333" s="6">
        <f>IF(325&lt;=$B$5,325,"")</f>
        <v/>
      </c>
      <c r="B333" s="6">
        <f>IF(A333="","",E332)</f>
        <v/>
      </c>
      <c r="C333" s="6">
        <f>IF(A333="","",B333*$B$4/12)</f>
        <v/>
      </c>
      <c r="D333" s="6">
        <f>IF(A333="","",MIN(B333,$B$6-C333))</f>
        <v/>
      </c>
      <c r="E333" s="6">
        <f>IF(A333="","",MAX(0,B333-D333))</f>
        <v/>
      </c>
      <c r="F333" s="6">
        <f>IF(A333="","",C333+D333)</f>
        <v/>
      </c>
    </row>
    <row r="334">
      <c r="A334" s="6">
        <f>IF(326&lt;=$B$5,326,"")</f>
        <v/>
      </c>
      <c r="B334" s="6">
        <f>IF(A334="","",E333)</f>
        <v/>
      </c>
      <c r="C334" s="6">
        <f>IF(A334="","",B334*$B$4/12)</f>
        <v/>
      </c>
      <c r="D334" s="6">
        <f>IF(A334="","",MIN(B334,$B$6-C334))</f>
        <v/>
      </c>
      <c r="E334" s="6">
        <f>IF(A334="","",MAX(0,B334-D334))</f>
        <v/>
      </c>
      <c r="F334" s="6">
        <f>IF(A334="","",C334+D334)</f>
        <v/>
      </c>
    </row>
    <row r="335">
      <c r="A335" s="6">
        <f>IF(327&lt;=$B$5,327,"")</f>
        <v/>
      </c>
      <c r="B335" s="6">
        <f>IF(A335="","",E334)</f>
        <v/>
      </c>
      <c r="C335" s="6">
        <f>IF(A335="","",B335*$B$4/12)</f>
        <v/>
      </c>
      <c r="D335" s="6">
        <f>IF(A335="","",MIN(B335,$B$6-C335))</f>
        <v/>
      </c>
      <c r="E335" s="6">
        <f>IF(A335="","",MAX(0,B335-D335))</f>
        <v/>
      </c>
      <c r="F335" s="6">
        <f>IF(A335="","",C335+D335)</f>
        <v/>
      </c>
    </row>
    <row r="336">
      <c r="A336" s="6">
        <f>IF(328&lt;=$B$5,328,"")</f>
        <v/>
      </c>
      <c r="B336" s="6">
        <f>IF(A336="","",E335)</f>
        <v/>
      </c>
      <c r="C336" s="6">
        <f>IF(A336="","",B336*$B$4/12)</f>
        <v/>
      </c>
      <c r="D336" s="6">
        <f>IF(A336="","",MIN(B336,$B$6-C336))</f>
        <v/>
      </c>
      <c r="E336" s="6">
        <f>IF(A336="","",MAX(0,B336-D336))</f>
        <v/>
      </c>
      <c r="F336" s="6">
        <f>IF(A336="","",C336+D336)</f>
        <v/>
      </c>
    </row>
    <row r="337">
      <c r="A337" s="6">
        <f>IF(329&lt;=$B$5,329,"")</f>
        <v/>
      </c>
      <c r="B337" s="6">
        <f>IF(A337="","",E336)</f>
        <v/>
      </c>
      <c r="C337" s="6">
        <f>IF(A337="","",B337*$B$4/12)</f>
        <v/>
      </c>
      <c r="D337" s="6">
        <f>IF(A337="","",MIN(B337,$B$6-C337))</f>
        <v/>
      </c>
      <c r="E337" s="6">
        <f>IF(A337="","",MAX(0,B337-D337))</f>
        <v/>
      </c>
      <c r="F337" s="6">
        <f>IF(A337="","",C337+D337)</f>
        <v/>
      </c>
    </row>
    <row r="338">
      <c r="A338" s="6">
        <f>IF(330&lt;=$B$5,330,"")</f>
        <v/>
      </c>
      <c r="B338" s="6">
        <f>IF(A338="","",E337)</f>
        <v/>
      </c>
      <c r="C338" s="6">
        <f>IF(A338="","",B338*$B$4/12)</f>
        <v/>
      </c>
      <c r="D338" s="6">
        <f>IF(A338="","",MIN(B338,$B$6-C338))</f>
        <v/>
      </c>
      <c r="E338" s="6">
        <f>IF(A338="","",MAX(0,B338-D338))</f>
        <v/>
      </c>
      <c r="F338" s="6">
        <f>IF(A338="","",C338+D338)</f>
        <v/>
      </c>
    </row>
    <row r="339">
      <c r="A339" s="6">
        <f>IF(331&lt;=$B$5,331,"")</f>
        <v/>
      </c>
      <c r="B339" s="6">
        <f>IF(A339="","",E338)</f>
        <v/>
      </c>
      <c r="C339" s="6">
        <f>IF(A339="","",B339*$B$4/12)</f>
        <v/>
      </c>
      <c r="D339" s="6">
        <f>IF(A339="","",MIN(B339,$B$6-C339))</f>
        <v/>
      </c>
      <c r="E339" s="6">
        <f>IF(A339="","",MAX(0,B339-D339))</f>
        <v/>
      </c>
      <c r="F339" s="6">
        <f>IF(A339="","",C339+D339)</f>
        <v/>
      </c>
    </row>
    <row r="340">
      <c r="A340" s="6">
        <f>IF(332&lt;=$B$5,332,"")</f>
        <v/>
      </c>
      <c r="B340" s="6">
        <f>IF(A340="","",E339)</f>
        <v/>
      </c>
      <c r="C340" s="6">
        <f>IF(A340="","",B340*$B$4/12)</f>
        <v/>
      </c>
      <c r="D340" s="6">
        <f>IF(A340="","",MIN(B340,$B$6-C340))</f>
        <v/>
      </c>
      <c r="E340" s="6">
        <f>IF(A340="","",MAX(0,B340-D340))</f>
        <v/>
      </c>
      <c r="F340" s="6">
        <f>IF(A340="","",C340+D340)</f>
        <v/>
      </c>
    </row>
    <row r="341">
      <c r="A341" s="6">
        <f>IF(333&lt;=$B$5,333,"")</f>
        <v/>
      </c>
      <c r="B341" s="6">
        <f>IF(A341="","",E340)</f>
        <v/>
      </c>
      <c r="C341" s="6">
        <f>IF(A341="","",B341*$B$4/12)</f>
        <v/>
      </c>
      <c r="D341" s="6">
        <f>IF(A341="","",MIN(B341,$B$6-C341))</f>
        <v/>
      </c>
      <c r="E341" s="6">
        <f>IF(A341="","",MAX(0,B341-D341))</f>
        <v/>
      </c>
      <c r="F341" s="6">
        <f>IF(A341="","",C341+D341)</f>
        <v/>
      </c>
    </row>
    <row r="342">
      <c r="A342" s="6">
        <f>IF(334&lt;=$B$5,334,"")</f>
        <v/>
      </c>
      <c r="B342" s="6">
        <f>IF(A342="","",E341)</f>
        <v/>
      </c>
      <c r="C342" s="6">
        <f>IF(A342="","",B342*$B$4/12)</f>
        <v/>
      </c>
      <c r="D342" s="6">
        <f>IF(A342="","",MIN(B342,$B$6-C342))</f>
        <v/>
      </c>
      <c r="E342" s="6">
        <f>IF(A342="","",MAX(0,B342-D342))</f>
        <v/>
      </c>
      <c r="F342" s="6">
        <f>IF(A342="","",C342+D342)</f>
        <v/>
      </c>
    </row>
    <row r="343">
      <c r="A343" s="6">
        <f>IF(335&lt;=$B$5,335,"")</f>
        <v/>
      </c>
      <c r="B343" s="6">
        <f>IF(A343="","",E342)</f>
        <v/>
      </c>
      <c r="C343" s="6">
        <f>IF(A343="","",B343*$B$4/12)</f>
        <v/>
      </c>
      <c r="D343" s="6">
        <f>IF(A343="","",MIN(B343,$B$6-C343))</f>
        <v/>
      </c>
      <c r="E343" s="6">
        <f>IF(A343="","",MAX(0,B343-D343))</f>
        <v/>
      </c>
      <c r="F343" s="6">
        <f>IF(A343="","",C343+D343)</f>
        <v/>
      </c>
    </row>
    <row r="344">
      <c r="A344" s="6">
        <f>IF(336&lt;=$B$5,336,"")</f>
        <v/>
      </c>
      <c r="B344" s="6">
        <f>IF(A344="","",E343)</f>
        <v/>
      </c>
      <c r="C344" s="6">
        <f>IF(A344="","",B344*$B$4/12)</f>
        <v/>
      </c>
      <c r="D344" s="6">
        <f>IF(A344="","",MIN(B344,$B$6-C344))</f>
        <v/>
      </c>
      <c r="E344" s="6">
        <f>IF(A344="","",MAX(0,B344-D344))</f>
        <v/>
      </c>
      <c r="F344" s="6">
        <f>IF(A344="","",C344+D344)</f>
        <v/>
      </c>
    </row>
    <row r="345">
      <c r="A345" s="6">
        <f>IF(337&lt;=$B$5,337,"")</f>
        <v/>
      </c>
      <c r="B345" s="6">
        <f>IF(A345="","",E344)</f>
        <v/>
      </c>
      <c r="C345" s="6">
        <f>IF(A345="","",B345*$B$4/12)</f>
        <v/>
      </c>
      <c r="D345" s="6">
        <f>IF(A345="","",MIN(B345,$B$6-C345))</f>
        <v/>
      </c>
      <c r="E345" s="6">
        <f>IF(A345="","",MAX(0,B345-D345))</f>
        <v/>
      </c>
      <c r="F345" s="6">
        <f>IF(A345="","",C345+D345)</f>
        <v/>
      </c>
    </row>
    <row r="346">
      <c r="A346" s="6">
        <f>IF(338&lt;=$B$5,338,"")</f>
        <v/>
      </c>
      <c r="B346" s="6">
        <f>IF(A346="","",E345)</f>
        <v/>
      </c>
      <c r="C346" s="6">
        <f>IF(A346="","",B346*$B$4/12)</f>
        <v/>
      </c>
      <c r="D346" s="6">
        <f>IF(A346="","",MIN(B346,$B$6-C346))</f>
        <v/>
      </c>
      <c r="E346" s="6">
        <f>IF(A346="","",MAX(0,B346-D346))</f>
        <v/>
      </c>
      <c r="F346" s="6">
        <f>IF(A346="","",C346+D346)</f>
        <v/>
      </c>
    </row>
    <row r="347">
      <c r="A347" s="6">
        <f>IF(339&lt;=$B$5,339,"")</f>
        <v/>
      </c>
      <c r="B347" s="6">
        <f>IF(A347="","",E346)</f>
        <v/>
      </c>
      <c r="C347" s="6">
        <f>IF(A347="","",B347*$B$4/12)</f>
        <v/>
      </c>
      <c r="D347" s="6">
        <f>IF(A347="","",MIN(B347,$B$6-C347))</f>
        <v/>
      </c>
      <c r="E347" s="6">
        <f>IF(A347="","",MAX(0,B347-D347))</f>
        <v/>
      </c>
      <c r="F347" s="6">
        <f>IF(A347="","",C347+D347)</f>
        <v/>
      </c>
    </row>
    <row r="348">
      <c r="A348" s="6">
        <f>IF(340&lt;=$B$5,340,"")</f>
        <v/>
      </c>
      <c r="B348" s="6">
        <f>IF(A348="","",E347)</f>
        <v/>
      </c>
      <c r="C348" s="6">
        <f>IF(A348="","",B348*$B$4/12)</f>
        <v/>
      </c>
      <c r="D348" s="6">
        <f>IF(A348="","",MIN(B348,$B$6-C348))</f>
        <v/>
      </c>
      <c r="E348" s="6">
        <f>IF(A348="","",MAX(0,B348-D348))</f>
        <v/>
      </c>
      <c r="F348" s="6">
        <f>IF(A348="","",C348+D348)</f>
        <v/>
      </c>
    </row>
    <row r="349">
      <c r="A349" s="6">
        <f>IF(341&lt;=$B$5,341,"")</f>
        <v/>
      </c>
      <c r="B349" s="6">
        <f>IF(A349="","",E348)</f>
        <v/>
      </c>
      <c r="C349" s="6">
        <f>IF(A349="","",B349*$B$4/12)</f>
        <v/>
      </c>
      <c r="D349" s="6">
        <f>IF(A349="","",MIN(B349,$B$6-C349))</f>
        <v/>
      </c>
      <c r="E349" s="6">
        <f>IF(A349="","",MAX(0,B349-D349))</f>
        <v/>
      </c>
      <c r="F349" s="6">
        <f>IF(A349="","",C349+D349)</f>
        <v/>
      </c>
    </row>
    <row r="350">
      <c r="A350" s="6">
        <f>IF(342&lt;=$B$5,342,"")</f>
        <v/>
      </c>
      <c r="B350" s="6">
        <f>IF(A350="","",E349)</f>
        <v/>
      </c>
      <c r="C350" s="6">
        <f>IF(A350="","",B350*$B$4/12)</f>
        <v/>
      </c>
      <c r="D350" s="6">
        <f>IF(A350="","",MIN(B350,$B$6-C350))</f>
        <v/>
      </c>
      <c r="E350" s="6">
        <f>IF(A350="","",MAX(0,B350-D350))</f>
        <v/>
      </c>
      <c r="F350" s="6">
        <f>IF(A350="","",C350+D350)</f>
        <v/>
      </c>
    </row>
    <row r="351">
      <c r="A351" s="6">
        <f>IF(343&lt;=$B$5,343,"")</f>
        <v/>
      </c>
      <c r="B351" s="6">
        <f>IF(A351="","",E350)</f>
        <v/>
      </c>
      <c r="C351" s="6">
        <f>IF(A351="","",B351*$B$4/12)</f>
        <v/>
      </c>
      <c r="D351" s="6">
        <f>IF(A351="","",MIN(B351,$B$6-C351))</f>
        <v/>
      </c>
      <c r="E351" s="6">
        <f>IF(A351="","",MAX(0,B351-D351))</f>
        <v/>
      </c>
      <c r="F351" s="6">
        <f>IF(A351="","",C351+D351)</f>
        <v/>
      </c>
    </row>
    <row r="352">
      <c r="A352" s="6">
        <f>IF(344&lt;=$B$5,344,"")</f>
        <v/>
      </c>
      <c r="B352" s="6">
        <f>IF(A352="","",E351)</f>
        <v/>
      </c>
      <c r="C352" s="6">
        <f>IF(A352="","",B352*$B$4/12)</f>
        <v/>
      </c>
      <c r="D352" s="6">
        <f>IF(A352="","",MIN(B352,$B$6-C352))</f>
        <v/>
      </c>
      <c r="E352" s="6">
        <f>IF(A352="","",MAX(0,B352-D352))</f>
        <v/>
      </c>
      <c r="F352" s="6">
        <f>IF(A352="","",C352+D352)</f>
        <v/>
      </c>
    </row>
    <row r="353">
      <c r="A353" s="6">
        <f>IF(345&lt;=$B$5,345,"")</f>
        <v/>
      </c>
      <c r="B353" s="6">
        <f>IF(A353="","",E352)</f>
        <v/>
      </c>
      <c r="C353" s="6">
        <f>IF(A353="","",B353*$B$4/12)</f>
        <v/>
      </c>
      <c r="D353" s="6">
        <f>IF(A353="","",MIN(B353,$B$6-C353))</f>
        <v/>
      </c>
      <c r="E353" s="6">
        <f>IF(A353="","",MAX(0,B353-D353))</f>
        <v/>
      </c>
      <c r="F353" s="6">
        <f>IF(A353="","",C353+D353)</f>
        <v/>
      </c>
    </row>
    <row r="354">
      <c r="A354" s="6">
        <f>IF(346&lt;=$B$5,346,"")</f>
        <v/>
      </c>
      <c r="B354" s="6">
        <f>IF(A354="","",E353)</f>
        <v/>
      </c>
      <c r="C354" s="6">
        <f>IF(A354="","",B354*$B$4/12)</f>
        <v/>
      </c>
      <c r="D354" s="6">
        <f>IF(A354="","",MIN(B354,$B$6-C354))</f>
        <v/>
      </c>
      <c r="E354" s="6">
        <f>IF(A354="","",MAX(0,B354-D354))</f>
        <v/>
      </c>
      <c r="F354" s="6">
        <f>IF(A354="","",C354+D354)</f>
        <v/>
      </c>
    </row>
    <row r="355">
      <c r="A355" s="6">
        <f>IF(347&lt;=$B$5,347,"")</f>
        <v/>
      </c>
      <c r="B355" s="6">
        <f>IF(A355="","",E354)</f>
        <v/>
      </c>
      <c r="C355" s="6">
        <f>IF(A355="","",B355*$B$4/12)</f>
        <v/>
      </c>
      <c r="D355" s="6">
        <f>IF(A355="","",MIN(B355,$B$6-C355))</f>
        <v/>
      </c>
      <c r="E355" s="6">
        <f>IF(A355="","",MAX(0,B355-D355))</f>
        <v/>
      </c>
      <c r="F355" s="6">
        <f>IF(A355="","",C355+D355)</f>
        <v/>
      </c>
    </row>
    <row r="356">
      <c r="A356" s="6">
        <f>IF(348&lt;=$B$5,348,"")</f>
        <v/>
      </c>
      <c r="B356" s="6">
        <f>IF(A356="","",E355)</f>
        <v/>
      </c>
      <c r="C356" s="6">
        <f>IF(A356="","",B356*$B$4/12)</f>
        <v/>
      </c>
      <c r="D356" s="6">
        <f>IF(A356="","",MIN(B356,$B$6-C356))</f>
        <v/>
      </c>
      <c r="E356" s="6">
        <f>IF(A356="","",MAX(0,B356-D356))</f>
        <v/>
      </c>
      <c r="F356" s="6">
        <f>IF(A356="","",C356+D356)</f>
        <v/>
      </c>
    </row>
    <row r="357">
      <c r="A357" s="6">
        <f>IF(349&lt;=$B$5,349,"")</f>
        <v/>
      </c>
      <c r="B357" s="6">
        <f>IF(A357="","",E356)</f>
        <v/>
      </c>
      <c r="C357" s="6">
        <f>IF(A357="","",B357*$B$4/12)</f>
        <v/>
      </c>
      <c r="D357" s="6">
        <f>IF(A357="","",MIN(B357,$B$6-C357))</f>
        <v/>
      </c>
      <c r="E357" s="6">
        <f>IF(A357="","",MAX(0,B357-D357))</f>
        <v/>
      </c>
      <c r="F357" s="6">
        <f>IF(A357="","",C357+D357)</f>
        <v/>
      </c>
    </row>
    <row r="358">
      <c r="A358" s="6">
        <f>IF(350&lt;=$B$5,350,"")</f>
        <v/>
      </c>
      <c r="B358" s="6">
        <f>IF(A358="","",E357)</f>
        <v/>
      </c>
      <c r="C358" s="6">
        <f>IF(A358="","",B358*$B$4/12)</f>
        <v/>
      </c>
      <c r="D358" s="6">
        <f>IF(A358="","",MIN(B358,$B$6-C358))</f>
        <v/>
      </c>
      <c r="E358" s="6">
        <f>IF(A358="","",MAX(0,B358-D358))</f>
        <v/>
      </c>
      <c r="F358" s="6">
        <f>IF(A358="","",C358+D358)</f>
        <v/>
      </c>
    </row>
    <row r="359">
      <c r="A359" s="6">
        <f>IF(351&lt;=$B$5,351,"")</f>
        <v/>
      </c>
      <c r="B359" s="6">
        <f>IF(A359="","",E358)</f>
        <v/>
      </c>
      <c r="C359" s="6">
        <f>IF(A359="","",B359*$B$4/12)</f>
        <v/>
      </c>
      <c r="D359" s="6">
        <f>IF(A359="","",MIN(B359,$B$6-C359))</f>
        <v/>
      </c>
      <c r="E359" s="6">
        <f>IF(A359="","",MAX(0,B359-D359))</f>
        <v/>
      </c>
      <c r="F359" s="6">
        <f>IF(A359="","",C359+D359)</f>
        <v/>
      </c>
    </row>
    <row r="360">
      <c r="A360" s="6">
        <f>IF(352&lt;=$B$5,352,"")</f>
        <v/>
      </c>
      <c r="B360" s="6">
        <f>IF(A360="","",E359)</f>
        <v/>
      </c>
      <c r="C360" s="6">
        <f>IF(A360="","",B360*$B$4/12)</f>
        <v/>
      </c>
      <c r="D360" s="6">
        <f>IF(A360="","",MIN(B360,$B$6-C360))</f>
        <v/>
      </c>
      <c r="E360" s="6">
        <f>IF(A360="","",MAX(0,B360-D360))</f>
        <v/>
      </c>
      <c r="F360" s="6">
        <f>IF(A360="","",C360+D360)</f>
        <v/>
      </c>
    </row>
    <row r="361">
      <c r="A361" s="6">
        <f>IF(353&lt;=$B$5,353,"")</f>
        <v/>
      </c>
      <c r="B361" s="6">
        <f>IF(A361="","",E360)</f>
        <v/>
      </c>
      <c r="C361" s="6">
        <f>IF(A361="","",B361*$B$4/12)</f>
        <v/>
      </c>
      <c r="D361" s="6">
        <f>IF(A361="","",MIN(B361,$B$6-C361))</f>
        <v/>
      </c>
      <c r="E361" s="6">
        <f>IF(A361="","",MAX(0,B361-D361))</f>
        <v/>
      </c>
      <c r="F361" s="6">
        <f>IF(A361="","",C361+D361)</f>
        <v/>
      </c>
    </row>
    <row r="362">
      <c r="A362" s="6">
        <f>IF(354&lt;=$B$5,354,"")</f>
        <v/>
      </c>
      <c r="B362" s="6">
        <f>IF(A362="","",E361)</f>
        <v/>
      </c>
      <c r="C362" s="6">
        <f>IF(A362="","",B362*$B$4/12)</f>
        <v/>
      </c>
      <c r="D362" s="6">
        <f>IF(A362="","",MIN(B362,$B$6-C362))</f>
        <v/>
      </c>
      <c r="E362" s="6">
        <f>IF(A362="","",MAX(0,B362-D362))</f>
        <v/>
      </c>
      <c r="F362" s="6">
        <f>IF(A362="","",C362+D362)</f>
        <v/>
      </c>
    </row>
    <row r="363">
      <c r="A363" s="6">
        <f>IF(355&lt;=$B$5,355,"")</f>
        <v/>
      </c>
      <c r="B363" s="6">
        <f>IF(A363="","",E362)</f>
        <v/>
      </c>
      <c r="C363" s="6">
        <f>IF(A363="","",B363*$B$4/12)</f>
        <v/>
      </c>
      <c r="D363" s="6">
        <f>IF(A363="","",MIN(B363,$B$6-C363))</f>
        <v/>
      </c>
      <c r="E363" s="6">
        <f>IF(A363="","",MAX(0,B363-D363))</f>
        <v/>
      </c>
      <c r="F363" s="6">
        <f>IF(A363="","",C363+D363)</f>
        <v/>
      </c>
    </row>
    <row r="364">
      <c r="A364" s="6">
        <f>IF(356&lt;=$B$5,356,"")</f>
        <v/>
      </c>
      <c r="B364" s="6">
        <f>IF(A364="","",E363)</f>
        <v/>
      </c>
      <c r="C364" s="6">
        <f>IF(A364="","",B364*$B$4/12)</f>
        <v/>
      </c>
      <c r="D364" s="6">
        <f>IF(A364="","",MIN(B364,$B$6-C364))</f>
        <v/>
      </c>
      <c r="E364" s="6">
        <f>IF(A364="","",MAX(0,B364-D364))</f>
        <v/>
      </c>
      <c r="F364" s="6">
        <f>IF(A364="","",C364+D364)</f>
        <v/>
      </c>
    </row>
    <row r="365">
      <c r="A365" s="6">
        <f>IF(357&lt;=$B$5,357,"")</f>
        <v/>
      </c>
      <c r="B365" s="6">
        <f>IF(A365="","",E364)</f>
        <v/>
      </c>
      <c r="C365" s="6">
        <f>IF(A365="","",B365*$B$4/12)</f>
        <v/>
      </c>
      <c r="D365" s="6">
        <f>IF(A365="","",MIN(B365,$B$6-C365))</f>
        <v/>
      </c>
      <c r="E365" s="6">
        <f>IF(A365="","",MAX(0,B365-D365))</f>
        <v/>
      </c>
      <c r="F365" s="6">
        <f>IF(A365="","",C365+D365)</f>
        <v/>
      </c>
    </row>
    <row r="366">
      <c r="A366" s="6">
        <f>IF(358&lt;=$B$5,358,"")</f>
        <v/>
      </c>
      <c r="B366" s="6">
        <f>IF(A366="","",E365)</f>
        <v/>
      </c>
      <c r="C366" s="6">
        <f>IF(A366="","",B366*$B$4/12)</f>
        <v/>
      </c>
      <c r="D366" s="6">
        <f>IF(A366="","",MIN(B366,$B$6-C366))</f>
        <v/>
      </c>
      <c r="E366" s="6">
        <f>IF(A366="","",MAX(0,B366-D366))</f>
        <v/>
      </c>
      <c r="F366" s="6">
        <f>IF(A366="","",C366+D366)</f>
        <v/>
      </c>
    </row>
    <row r="367">
      <c r="A367" s="6">
        <f>IF(359&lt;=$B$5,359,"")</f>
        <v/>
      </c>
      <c r="B367" s="6">
        <f>IF(A367="","",E366)</f>
        <v/>
      </c>
      <c r="C367" s="6">
        <f>IF(A367="","",B367*$B$4/12)</f>
        <v/>
      </c>
      <c r="D367" s="6">
        <f>IF(A367="","",MIN(B367,$B$6-C367))</f>
        <v/>
      </c>
      <c r="E367" s="6">
        <f>IF(A367="","",MAX(0,B367-D367))</f>
        <v/>
      </c>
      <c r="F367" s="6">
        <f>IF(A367="","",C367+D367)</f>
        <v/>
      </c>
    </row>
    <row r="368">
      <c r="A368" s="6">
        <f>IF(360&lt;=$B$5,360,"")</f>
        <v/>
      </c>
      <c r="B368" s="6">
        <f>IF(A368="","",E367)</f>
        <v/>
      </c>
      <c r="C368" s="6">
        <f>IF(A368="","",B368*$B$4/12)</f>
        <v/>
      </c>
      <c r="D368" s="6">
        <f>IF(A368="","",MIN(B368,$B$6-C368))</f>
        <v/>
      </c>
      <c r="E368" s="6">
        <f>IF(A368="","",MAX(0,B368-D368))</f>
        <v/>
      </c>
      <c r="F368" s="6">
        <f>IF(A368="","",C368+D368)</f>
        <v/>
      </c>
    </row>
  </sheetData>
  <mergeCells count="1">
    <mergeCell ref="A2:F2"/>
  </mergeCells>
  <dataValidations count="3">
    <dataValidation sqref="B3" showDropDown="0" showInputMessage="0" showErrorMessage="1" allowBlank="0" errorTitle="Input" error="0.01 – 1000000000" type="decimal" operator="between">
      <formula1>0.01</formula1>
      <formula2>1000000000</formula2>
    </dataValidation>
    <dataValidation sqref="B4" showDropDown="0" showInputMessage="0" showErrorMessage="1" allowBlank="0" errorTitle="Input" error="0 – 1" type="decimal" operator="between">
      <formula1>0</formula1>
      <formula2>1</formula2>
    </dataValidation>
    <dataValidation sqref="B5" showDropDown="0" showInputMessage="0" showErrorMessage="1" allowBlank="0" errorTitle="Input" error="1 – 360" type="whole" operator="between">
      <formula1>1</formula1>
      <formula2>360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2026-10-16T23:58:37Z</dcterms:created>
  <dcterms:modified xmlns:dcterms="http://purl.org/dc/terms/" xmlns:xsi="http://www.w3.org/2001/XMLSchema-instance" xsi:type="dcterms:W3CDTF">2026-10-16T23:58:37Z</dcterms:modified>
</cp:coreProperties>
</file>